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ýkresy\OBJEKTY - ruzne\2025-07-ZOO Lešná-střecha odchovna\PDF - provádění stavby\D - Dokumentace objektu\D.1 Stavební a technologická část\D.1.1 Architektonicko-stavebni řešeni\"/>
    </mc:Choice>
  </mc:AlternateContent>
  <xr:revisionPtr revIDLastSave="0" documentId="13_ncr:1_{0B6C8C7A-B4B4-4790-B8B5-0EADB5E99C34}" xr6:coauthVersionLast="47" xr6:coauthVersionMax="47" xr10:uidLastSave="{00000000-0000-0000-0000-000000000000}"/>
  <bookViews>
    <workbookView xWindow="-28920" yWindow="-120" windowWidth="29040" windowHeight="16440" activeTab="1" xr2:uid="{00000000-000D-0000-FFFF-FFFF00000000}"/>
  </bookViews>
  <sheets>
    <sheet name="Krycí list" sheetId="2" r:id="rId1"/>
    <sheet name="Stavební rozpočet" sheetId="1" r:id="rId2"/>
    <sheet name="VORN" sheetId="3" state="hidden" r:id="rId3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6" i="3"/>
  <c r="I36" i="3" s="1"/>
  <c r="I26" i="3"/>
  <c r="I25" i="3"/>
  <c r="I18" i="2" s="1"/>
  <c r="I24" i="3"/>
  <c r="I23" i="3"/>
  <c r="I16" i="2" s="1"/>
  <c r="I22" i="3"/>
  <c r="I21" i="3"/>
  <c r="I17" i="3"/>
  <c r="I16" i="3"/>
  <c r="I15" i="3"/>
  <c r="I10" i="3"/>
  <c r="F10" i="3"/>
  <c r="C10" i="3"/>
  <c r="F8" i="3"/>
  <c r="C8" i="3"/>
  <c r="F6" i="3"/>
  <c r="C6" i="3"/>
  <c r="F4" i="3"/>
  <c r="C4" i="3"/>
  <c r="F2" i="3"/>
  <c r="C2" i="3"/>
  <c r="I19" i="2"/>
  <c r="I17" i="2"/>
  <c r="F16" i="2"/>
  <c r="I15" i="2"/>
  <c r="F15" i="2"/>
  <c r="I10" i="2"/>
  <c r="F10" i="2"/>
  <c r="C10" i="2"/>
  <c r="F8" i="2"/>
  <c r="C8" i="2"/>
  <c r="F6" i="2"/>
  <c r="C6" i="2"/>
  <c r="F4" i="2"/>
  <c r="C4" i="2"/>
  <c r="F2" i="2"/>
  <c r="C2" i="2"/>
  <c r="BS220" i="1"/>
  <c r="BJ220" i="1"/>
  <c r="BF220" i="1"/>
  <c r="BD220" i="1"/>
  <c r="AW220" i="1"/>
  <c r="AP220" i="1"/>
  <c r="BI220" i="1" s="1"/>
  <c r="AO220" i="1"/>
  <c r="BH220" i="1" s="1"/>
  <c r="AK220" i="1"/>
  <c r="AT219" i="1" s="1"/>
  <c r="AJ220" i="1"/>
  <c r="AH220" i="1"/>
  <c r="AG220" i="1"/>
  <c r="AF220" i="1"/>
  <c r="AE220" i="1"/>
  <c r="AD220" i="1"/>
  <c r="AC220" i="1"/>
  <c r="AB220" i="1"/>
  <c r="Z220" i="1"/>
  <c r="L220" i="1"/>
  <c r="J220" i="1"/>
  <c r="J219" i="1" s="1"/>
  <c r="I220" i="1"/>
  <c r="I219" i="1" s="1"/>
  <c r="H220" i="1"/>
  <c r="AS219" i="1"/>
  <c r="L219" i="1"/>
  <c r="H219" i="1"/>
  <c r="BO217" i="1"/>
  <c r="BJ217" i="1"/>
  <c r="BD217" i="1"/>
  <c r="AP217" i="1"/>
  <c r="I217" i="1" s="1"/>
  <c r="AO217" i="1"/>
  <c r="AK217" i="1"/>
  <c r="AJ217" i="1"/>
  <c r="AH217" i="1"/>
  <c r="AG217" i="1"/>
  <c r="AF217" i="1"/>
  <c r="AE217" i="1"/>
  <c r="AD217" i="1"/>
  <c r="AC217" i="1"/>
  <c r="AB217" i="1"/>
  <c r="Z217" i="1"/>
  <c r="L217" i="1"/>
  <c r="BF217" i="1" s="1"/>
  <c r="J217" i="1"/>
  <c r="AL217" i="1" s="1"/>
  <c r="BO215" i="1"/>
  <c r="BJ215" i="1"/>
  <c r="BF215" i="1"/>
  <c r="BD215" i="1"/>
  <c r="AP215" i="1"/>
  <c r="BI215" i="1" s="1"/>
  <c r="AO215" i="1"/>
  <c r="H215" i="1" s="1"/>
  <c r="AK215" i="1"/>
  <c r="AJ215" i="1"/>
  <c r="AH215" i="1"/>
  <c r="AG215" i="1"/>
  <c r="AF215" i="1"/>
  <c r="AE215" i="1"/>
  <c r="AD215" i="1"/>
  <c r="AC215" i="1"/>
  <c r="AB215" i="1"/>
  <c r="Z215" i="1"/>
  <c r="L215" i="1"/>
  <c r="L212" i="1" s="1"/>
  <c r="J215" i="1"/>
  <c r="AL215" i="1" s="1"/>
  <c r="BO213" i="1"/>
  <c r="BJ213" i="1"/>
  <c r="BF213" i="1"/>
  <c r="BD213" i="1"/>
  <c r="AW213" i="1"/>
  <c r="AP213" i="1"/>
  <c r="BI213" i="1" s="1"/>
  <c r="AO213" i="1"/>
  <c r="BH213" i="1" s="1"/>
  <c r="AK213" i="1"/>
  <c r="AJ213" i="1"/>
  <c r="AH213" i="1"/>
  <c r="AG213" i="1"/>
  <c r="AF213" i="1"/>
  <c r="AE213" i="1"/>
  <c r="AD213" i="1"/>
  <c r="AC213" i="1"/>
  <c r="AB213" i="1"/>
  <c r="Z213" i="1"/>
  <c r="L213" i="1"/>
  <c r="J213" i="1"/>
  <c r="J212" i="1" s="1"/>
  <c r="I213" i="1"/>
  <c r="H213" i="1"/>
  <c r="AS212" i="1"/>
  <c r="BM210" i="1"/>
  <c r="F35" i="3" s="1"/>
  <c r="I35" i="3" s="1"/>
  <c r="BJ210" i="1"/>
  <c r="BI210" i="1"/>
  <c r="BD210" i="1"/>
  <c r="AX210" i="1"/>
  <c r="AP210" i="1"/>
  <c r="I210" i="1" s="1"/>
  <c r="I209" i="1" s="1"/>
  <c r="AO210" i="1"/>
  <c r="AK210" i="1"/>
  <c r="AJ210" i="1"/>
  <c r="AS209" i="1" s="1"/>
  <c r="AH210" i="1"/>
  <c r="AG210" i="1"/>
  <c r="AF210" i="1"/>
  <c r="AE210" i="1"/>
  <c r="AD210" i="1"/>
  <c r="AC210" i="1"/>
  <c r="AB210" i="1"/>
  <c r="Z210" i="1"/>
  <c r="L210" i="1"/>
  <c r="BF210" i="1" s="1"/>
  <c r="J210" i="1"/>
  <c r="AL210" i="1" s="1"/>
  <c r="AU209" i="1" s="1"/>
  <c r="AT209" i="1"/>
  <c r="L209" i="1"/>
  <c r="L208" i="1" s="1"/>
  <c r="BJ206" i="1"/>
  <c r="BD206" i="1"/>
  <c r="AP206" i="1"/>
  <c r="AX206" i="1" s="1"/>
  <c r="AO206" i="1"/>
  <c r="BH206" i="1" s="1"/>
  <c r="AD206" i="1" s="1"/>
  <c r="AK206" i="1"/>
  <c r="AJ206" i="1"/>
  <c r="AH206" i="1"/>
  <c r="AG206" i="1"/>
  <c r="AF206" i="1"/>
  <c r="AC206" i="1"/>
  <c r="AB206" i="1"/>
  <c r="Z206" i="1"/>
  <c r="L206" i="1"/>
  <c r="BF206" i="1" s="1"/>
  <c r="J206" i="1"/>
  <c r="AL206" i="1" s="1"/>
  <c r="H206" i="1"/>
  <c r="BJ204" i="1"/>
  <c r="BD204" i="1"/>
  <c r="AP204" i="1"/>
  <c r="BI204" i="1" s="1"/>
  <c r="AE204" i="1" s="1"/>
  <c r="AO204" i="1"/>
  <c r="H204" i="1" s="1"/>
  <c r="H203" i="1" s="1"/>
  <c r="AK204" i="1"/>
  <c r="AT203" i="1" s="1"/>
  <c r="AJ204" i="1"/>
  <c r="AH204" i="1"/>
  <c r="AG204" i="1"/>
  <c r="AF204" i="1"/>
  <c r="AC204" i="1"/>
  <c r="AB204" i="1"/>
  <c r="Z204" i="1"/>
  <c r="L204" i="1"/>
  <c r="L203" i="1" s="1"/>
  <c r="J204" i="1"/>
  <c r="J203" i="1" s="1"/>
  <c r="I204" i="1"/>
  <c r="BJ200" i="1"/>
  <c r="BD200" i="1"/>
  <c r="AP200" i="1"/>
  <c r="I200" i="1" s="1"/>
  <c r="AO200" i="1"/>
  <c r="AK200" i="1"/>
  <c r="AJ200" i="1"/>
  <c r="AH200" i="1"/>
  <c r="AG200" i="1"/>
  <c r="AF200" i="1"/>
  <c r="AC200" i="1"/>
  <c r="AB200" i="1"/>
  <c r="Z200" i="1"/>
  <c r="L200" i="1"/>
  <c r="BF200" i="1" s="1"/>
  <c r="J200" i="1"/>
  <c r="AL200" i="1" s="1"/>
  <c r="BJ197" i="1"/>
  <c r="BF197" i="1"/>
  <c r="BD197" i="1"/>
  <c r="AP197" i="1"/>
  <c r="BI197" i="1" s="1"/>
  <c r="AE197" i="1" s="1"/>
  <c r="AO197" i="1"/>
  <c r="BH197" i="1" s="1"/>
  <c r="AD197" i="1" s="1"/>
  <c r="AK197" i="1"/>
  <c r="AJ197" i="1"/>
  <c r="AH197" i="1"/>
  <c r="AG197" i="1"/>
  <c r="AF197" i="1"/>
  <c r="AC197" i="1"/>
  <c r="AB197" i="1"/>
  <c r="Z197" i="1"/>
  <c r="L197" i="1"/>
  <c r="J197" i="1"/>
  <c r="AL197" i="1" s="1"/>
  <c r="I197" i="1"/>
  <c r="I194" i="1" s="1"/>
  <c r="BJ195" i="1"/>
  <c r="BD195" i="1"/>
  <c r="AX195" i="1"/>
  <c r="AP195" i="1"/>
  <c r="I195" i="1" s="1"/>
  <c r="AO195" i="1"/>
  <c r="AW195" i="1" s="1"/>
  <c r="AL195" i="1"/>
  <c r="AK195" i="1"/>
  <c r="AJ195" i="1"/>
  <c r="AH195" i="1"/>
  <c r="AG195" i="1"/>
  <c r="AF195" i="1"/>
  <c r="AC195" i="1"/>
  <c r="AB195" i="1"/>
  <c r="Z195" i="1"/>
  <c r="L195" i="1"/>
  <c r="BF195" i="1" s="1"/>
  <c r="J195" i="1"/>
  <c r="H195" i="1"/>
  <c r="AT194" i="1"/>
  <c r="L194" i="1"/>
  <c r="BJ193" i="1"/>
  <c r="BD193" i="1"/>
  <c r="AP193" i="1"/>
  <c r="I193" i="1" s="1"/>
  <c r="AO193" i="1"/>
  <c r="AW193" i="1" s="1"/>
  <c r="AK193" i="1"/>
  <c r="AJ193" i="1"/>
  <c r="AH193" i="1"/>
  <c r="AG193" i="1"/>
  <c r="AF193" i="1"/>
  <c r="AE193" i="1"/>
  <c r="AD193" i="1"/>
  <c r="AC193" i="1"/>
  <c r="AB193" i="1"/>
  <c r="Z193" i="1"/>
  <c r="L193" i="1"/>
  <c r="BF193" i="1" s="1"/>
  <c r="J193" i="1"/>
  <c r="AL193" i="1" s="1"/>
  <c r="H193" i="1"/>
  <c r="BJ191" i="1"/>
  <c r="BF191" i="1"/>
  <c r="BD191" i="1"/>
  <c r="AP191" i="1"/>
  <c r="BI191" i="1" s="1"/>
  <c r="AE191" i="1" s="1"/>
  <c r="AO191" i="1"/>
  <c r="H191" i="1" s="1"/>
  <c r="AK191" i="1"/>
  <c r="AJ191" i="1"/>
  <c r="AH191" i="1"/>
  <c r="AG191" i="1"/>
  <c r="AF191" i="1"/>
  <c r="AC191" i="1"/>
  <c r="AB191" i="1"/>
  <c r="Z191" i="1"/>
  <c r="L191" i="1"/>
  <c r="J191" i="1"/>
  <c r="AL191" i="1" s="1"/>
  <c r="I191" i="1"/>
  <c r="BJ188" i="1"/>
  <c r="BD188" i="1"/>
  <c r="AP188" i="1"/>
  <c r="BI188" i="1" s="1"/>
  <c r="AE188" i="1" s="1"/>
  <c r="AO188" i="1"/>
  <c r="AK188" i="1"/>
  <c r="AJ188" i="1"/>
  <c r="AH188" i="1"/>
  <c r="AG188" i="1"/>
  <c r="AF188" i="1"/>
  <c r="AC188" i="1"/>
  <c r="AB188" i="1"/>
  <c r="Z188" i="1"/>
  <c r="L188" i="1"/>
  <c r="BF188" i="1" s="1"/>
  <c r="J188" i="1"/>
  <c r="AL188" i="1" s="1"/>
  <c r="I188" i="1"/>
  <c r="BJ186" i="1"/>
  <c r="BH186" i="1"/>
  <c r="AD186" i="1" s="1"/>
  <c r="BD186" i="1"/>
  <c r="AP186" i="1"/>
  <c r="BI186" i="1" s="1"/>
  <c r="AE186" i="1" s="1"/>
  <c r="AO186" i="1"/>
  <c r="H186" i="1" s="1"/>
  <c r="AK186" i="1"/>
  <c r="AJ186" i="1"/>
  <c r="AH186" i="1"/>
  <c r="AG186" i="1"/>
  <c r="AF186" i="1"/>
  <c r="AC186" i="1"/>
  <c r="AB186" i="1"/>
  <c r="Z186" i="1"/>
  <c r="L186" i="1"/>
  <c r="BF186" i="1" s="1"/>
  <c r="J186" i="1"/>
  <c r="AL186" i="1" s="1"/>
  <c r="BJ183" i="1"/>
  <c r="BD183" i="1"/>
  <c r="AP183" i="1"/>
  <c r="AO183" i="1"/>
  <c r="AW183" i="1" s="1"/>
  <c r="AK183" i="1"/>
  <c r="AJ183" i="1"/>
  <c r="AH183" i="1"/>
  <c r="AG183" i="1"/>
  <c r="AF183" i="1"/>
  <c r="AC183" i="1"/>
  <c r="AB183" i="1"/>
  <c r="Z183" i="1"/>
  <c r="L183" i="1"/>
  <c r="J183" i="1"/>
  <c r="AL183" i="1" s="1"/>
  <c r="BJ181" i="1"/>
  <c r="BF181" i="1"/>
  <c r="BD181" i="1"/>
  <c r="AX181" i="1"/>
  <c r="AP181" i="1"/>
  <c r="BI181" i="1" s="1"/>
  <c r="AE181" i="1" s="1"/>
  <c r="AO181" i="1"/>
  <c r="AK181" i="1"/>
  <c r="AJ181" i="1"/>
  <c r="AH181" i="1"/>
  <c r="AG181" i="1"/>
  <c r="AF181" i="1"/>
  <c r="AC181" i="1"/>
  <c r="AB181" i="1"/>
  <c r="Z181" i="1"/>
  <c r="L181" i="1"/>
  <c r="J181" i="1"/>
  <c r="AL181" i="1" s="1"/>
  <c r="I181" i="1"/>
  <c r="BJ179" i="1"/>
  <c r="BD179" i="1"/>
  <c r="AP179" i="1"/>
  <c r="BI179" i="1" s="1"/>
  <c r="AE179" i="1" s="1"/>
  <c r="AO179" i="1"/>
  <c r="AW179" i="1" s="1"/>
  <c r="AK179" i="1"/>
  <c r="AJ179" i="1"/>
  <c r="AH179" i="1"/>
  <c r="AG179" i="1"/>
  <c r="AF179" i="1"/>
  <c r="AC179" i="1"/>
  <c r="AB179" i="1"/>
  <c r="Z179" i="1"/>
  <c r="L179" i="1"/>
  <c r="BF179" i="1" s="1"/>
  <c r="J179" i="1"/>
  <c r="AL179" i="1" s="1"/>
  <c r="H179" i="1"/>
  <c r="BJ177" i="1"/>
  <c r="BD177" i="1"/>
  <c r="AP177" i="1"/>
  <c r="BI177" i="1" s="1"/>
  <c r="AE177" i="1" s="1"/>
  <c r="AO177" i="1"/>
  <c r="H177" i="1" s="1"/>
  <c r="AK177" i="1"/>
  <c r="AJ177" i="1"/>
  <c r="AH177" i="1"/>
  <c r="AG177" i="1"/>
  <c r="AF177" i="1"/>
  <c r="AC177" i="1"/>
  <c r="AB177" i="1"/>
  <c r="Z177" i="1"/>
  <c r="L177" i="1"/>
  <c r="BF177" i="1" s="1"/>
  <c r="J177" i="1"/>
  <c r="AL177" i="1" s="1"/>
  <c r="I177" i="1"/>
  <c r="BJ175" i="1"/>
  <c r="BD175" i="1"/>
  <c r="AP175" i="1"/>
  <c r="AX175" i="1" s="1"/>
  <c r="AV175" i="1" s="1"/>
  <c r="AO175" i="1"/>
  <c r="AW175" i="1" s="1"/>
  <c r="AK175" i="1"/>
  <c r="AJ175" i="1"/>
  <c r="AH175" i="1"/>
  <c r="AG175" i="1"/>
  <c r="AF175" i="1"/>
  <c r="AC175" i="1"/>
  <c r="AB175" i="1"/>
  <c r="Z175" i="1"/>
  <c r="L175" i="1"/>
  <c r="BF175" i="1" s="1"/>
  <c r="J175" i="1"/>
  <c r="AL175" i="1" s="1"/>
  <c r="I175" i="1"/>
  <c r="H175" i="1"/>
  <c r="BJ172" i="1"/>
  <c r="BF172" i="1"/>
  <c r="BD172" i="1"/>
  <c r="AP172" i="1"/>
  <c r="BI172" i="1" s="1"/>
  <c r="AE172" i="1" s="1"/>
  <c r="AO172" i="1"/>
  <c r="H172" i="1" s="1"/>
  <c r="AK172" i="1"/>
  <c r="AJ172" i="1"/>
  <c r="AH172" i="1"/>
  <c r="AG172" i="1"/>
  <c r="AF172" i="1"/>
  <c r="AC172" i="1"/>
  <c r="AB172" i="1"/>
  <c r="Z172" i="1"/>
  <c r="L172" i="1"/>
  <c r="J172" i="1"/>
  <c r="AL172" i="1" s="1"/>
  <c r="I172" i="1"/>
  <c r="BJ170" i="1"/>
  <c r="BD170" i="1"/>
  <c r="AP170" i="1"/>
  <c r="AX170" i="1" s="1"/>
  <c r="AO170" i="1"/>
  <c r="AK170" i="1"/>
  <c r="AJ170" i="1"/>
  <c r="AH170" i="1"/>
  <c r="AG170" i="1"/>
  <c r="AF170" i="1"/>
  <c r="AC170" i="1"/>
  <c r="AB170" i="1"/>
  <c r="Z170" i="1"/>
  <c r="L170" i="1"/>
  <c r="BF170" i="1" s="1"/>
  <c r="J170" i="1"/>
  <c r="I170" i="1"/>
  <c r="BJ168" i="1"/>
  <c r="BD168" i="1"/>
  <c r="AP168" i="1"/>
  <c r="BI168" i="1" s="1"/>
  <c r="AE168" i="1" s="1"/>
  <c r="AO168" i="1"/>
  <c r="BH168" i="1" s="1"/>
  <c r="AD168" i="1" s="1"/>
  <c r="AK168" i="1"/>
  <c r="AJ168" i="1"/>
  <c r="AH168" i="1"/>
  <c r="AG168" i="1"/>
  <c r="AF168" i="1"/>
  <c r="AC168" i="1"/>
  <c r="AB168" i="1"/>
  <c r="Z168" i="1"/>
  <c r="L168" i="1"/>
  <c r="BF168" i="1" s="1"/>
  <c r="J168" i="1"/>
  <c r="AL168" i="1" s="1"/>
  <c r="H168" i="1"/>
  <c r="BJ166" i="1"/>
  <c r="Z166" i="1" s="1"/>
  <c r="BD166" i="1"/>
  <c r="AP166" i="1"/>
  <c r="BI166" i="1" s="1"/>
  <c r="AO166" i="1"/>
  <c r="BH166" i="1" s="1"/>
  <c r="AK166" i="1"/>
  <c r="AJ166" i="1"/>
  <c r="AH166" i="1"/>
  <c r="AG166" i="1"/>
  <c r="AF166" i="1"/>
  <c r="AE166" i="1"/>
  <c r="AD166" i="1"/>
  <c r="AC166" i="1"/>
  <c r="AB166" i="1"/>
  <c r="L166" i="1"/>
  <c r="BF166" i="1" s="1"/>
  <c r="J166" i="1"/>
  <c r="AL166" i="1" s="1"/>
  <c r="I166" i="1"/>
  <c r="H166" i="1"/>
  <c r="BJ164" i="1"/>
  <c r="BD164" i="1"/>
  <c r="AX164" i="1"/>
  <c r="AP164" i="1"/>
  <c r="BI164" i="1" s="1"/>
  <c r="AE164" i="1" s="1"/>
  <c r="AO164" i="1"/>
  <c r="AK164" i="1"/>
  <c r="AJ164" i="1"/>
  <c r="AH164" i="1"/>
  <c r="AG164" i="1"/>
  <c r="AF164" i="1"/>
  <c r="AC164" i="1"/>
  <c r="AB164" i="1"/>
  <c r="Z164" i="1"/>
  <c r="L164" i="1"/>
  <c r="BF164" i="1" s="1"/>
  <c r="J164" i="1"/>
  <c r="AL164" i="1" s="1"/>
  <c r="I164" i="1"/>
  <c r="BJ162" i="1"/>
  <c r="BD162" i="1"/>
  <c r="AP162" i="1"/>
  <c r="BI162" i="1" s="1"/>
  <c r="AE162" i="1" s="1"/>
  <c r="AO162" i="1"/>
  <c r="BH162" i="1" s="1"/>
  <c r="AD162" i="1" s="1"/>
  <c r="AK162" i="1"/>
  <c r="AJ162" i="1"/>
  <c r="AS157" i="1" s="1"/>
  <c r="AH162" i="1"/>
  <c r="AG162" i="1"/>
  <c r="AF162" i="1"/>
  <c r="AC162" i="1"/>
  <c r="AB162" i="1"/>
  <c r="Z162" i="1"/>
  <c r="L162" i="1"/>
  <c r="BF162" i="1" s="1"/>
  <c r="J162" i="1"/>
  <c r="AL162" i="1" s="1"/>
  <c r="I162" i="1"/>
  <c r="H162" i="1"/>
  <c r="BJ160" i="1"/>
  <c r="BD160" i="1"/>
  <c r="AP160" i="1"/>
  <c r="BI160" i="1" s="1"/>
  <c r="AE160" i="1" s="1"/>
  <c r="AO160" i="1"/>
  <c r="AK160" i="1"/>
  <c r="AJ160" i="1"/>
  <c r="AH160" i="1"/>
  <c r="AG160" i="1"/>
  <c r="AF160" i="1"/>
  <c r="AC160" i="1"/>
  <c r="AB160" i="1"/>
  <c r="Z160" i="1"/>
  <c r="L160" i="1"/>
  <c r="J160" i="1"/>
  <c r="AL160" i="1" s="1"/>
  <c r="I160" i="1"/>
  <c r="BJ158" i="1"/>
  <c r="BD158" i="1"/>
  <c r="AP158" i="1"/>
  <c r="BI158" i="1" s="1"/>
  <c r="AE158" i="1" s="1"/>
  <c r="AO158" i="1"/>
  <c r="BH158" i="1" s="1"/>
  <c r="AD158" i="1" s="1"/>
  <c r="AK158" i="1"/>
  <c r="AJ158" i="1"/>
  <c r="AH158" i="1"/>
  <c r="AG158" i="1"/>
  <c r="AF158" i="1"/>
  <c r="AC158" i="1"/>
  <c r="AB158" i="1"/>
  <c r="Z158" i="1"/>
  <c r="L158" i="1"/>
  <c r="BF158" i="1" s="1"/>
  <c r="J158" i="1"/>
  <c r="AL158" i="1" s="1"/>
  <c r="I158" i="1"/>
  <c r="H158" i="1"/>
  <c r="BJ156" i="1"/>
  <c r="Z156" i="1" s="1"/>
  <c r="BF156" i="1"/>
  <c r="BD156" i="1"/>
  <c r="AP156" i="1"/>
  <c r="BI156" i="1" s="1"/>
  <c r="AO156" i="1"/>
  <c r="BH156" i="1" s="1"/>
  <c r="AL156" i="1"/>
  <c r="AK156" i="1"/>
  <c r="AJ156" i="1"/>
  <c r="AH156" i="1"/>
  <c r="AG156" i="1"/>
  <c r="AF156" i="1"/>
  <c r="AE156" i="1"/>
  <c r="AD156" i="1"/>
  <c r="AC156" i="1"/>
  <c r="AB156" i="1"/>
  <c r="L156" i="1"/>
  <c r="J156" i="1"/>
  <c r="I156" i="1"/>
  <c r="H156" i="1"/>
  <c r="BJ154" i="1"/>
  <c r="BD154" i="1"/>
  <c r="AP154" i="1"/>
  <c r="BI154" i="1" s="1"/>
  <c r="AE154" i="1" s="1"/>
  <c r="AO154" i="1"/>
  <c r="BH154" i="1" s="1"/>
  <c r="AD154" i="1" s="1"/>
  <c r="AK154" i="1"/>
  <c r="AJ154" i="1"/>
  <c r="AH154" i="1"/>
  <c r="AG154" i="1"/>
  <c r="AF154" i="1"/>
  <c r="AC154" i="1"/>
  <c r="AB154" i="1"/>
  <c r="Z154" i="1"/>
  <c r="L154" i="1"/>
  <c r="BF154" i="1" s="1"/>
  <c r="J154" i="1"/>
  <c r="AL154" i="1" s="1"/>
  <c r="H154" i="1"/>
  <c r="BJ151" i="1"/>
  <c r="BF151" i="1"/>
  <c r="BD151" i="1"/>
  <c r="AP151" i="1"/>
  <c r="BI151" i="1" s="1"/>
  <c r="AG151" i="1" s="1"/>
  <c r="AO151" i="1"/>
  <c r="BH151" i="1" s="1"/>
  <c r="AF151" i="1" s="1"/>
  <c r="AK151" i="1"/>
  <c r="AJ151" i="1"/>
  <c r="AH151" i="1"/>
  <c r="AE151" i="1"/>
  <c r="AD151" i="1"/>
  <c r="AC151" i="1"/>
  <c r="AB151" i="1"/>
  <c r="Z151" i="1"/>
  <c r="L151" i="1"/>
  <c r="J151" i="1"/>
  <c r="AL151" i="1" s="1"/>
  <c r="I151" i="1"/>
  <c r="H151" i="1"/>
  <c r="BJ149" i="1"/>
  <c r="BD149" i="1"/>
  <c r="AP149" i="1"/>
  <c r="AO149" i="1"/>
  <c r="BH149" i="1" s="1"/>
  <c r="AD149" i="1" s="1"/>
  <c r="AK149" i="1"/>
  <c r="AJ149" i="1"/>
  <c r="AH149" i="1"/>
  <c r="AG149" i="1"/>
  <c r="AF149" i="1"/>
  <c r="AC149" i="1"/>
  <c r="AB149" i="1"/>
  <c r="Z149" i="1"/>
  <c r="L149" i="1"/>
  <c r="BF149" i="1" s="1"/>
  <c r="J149" i="1"/>
  <c r="AL149" i="1" s="1"/>
  <c r="H149" i="1"/>
  <c r="BJ146" i="1"/>
  <c r="BF146" i="1"/>
  <c r="BD146" i="1"/>
  <c r="AW146" i="1"/>
  <c r="AP146" i="1"/>
  <c r="BI146" i="1" s="1"/>
  <c r="AE146" i="1" s="1"/>
  <c r="AO146" i="1"/>
  <c r="BH146" i="1" s="1"/>
  <c r="AD146" i="1" s="1"/>
  <c r="AK146" i="1"/>
  <c r="AJ146" i="1"/>
  <c r="AH146" i="1"/>
  <c r="AG146" i="1"/>
  <c r="AF146" i="1"/>
  <c r="AC146" i="1"/>
  <c r="AB146" i="1"/>
  <c r="Z146" i="1"/>
  <c r="L146" i="1"/>
  <c r="J146" i="1"/>
  <c r="J145" i="1" s="1"/>
  <c r="I146" i="1"/>
  <c r="H146" i="1"/>
  <c r="AT145" i="1"/>
  <c r="BJ144" i="1"/>
  <c r="BD144" i="1"/>
  <c r="AP144" i="1"/>
  <c r="BI144" i="1" s="1"/>
  <c r="AO144" i="1"/>
  <c r="AK144" i="1"/>
  <c r="AT128" i="1" s="1"/>
  <c r="AJ144" i="1"/>
  <c r="AH144" i="1"/>
  <c r="AG144" i="1"/>
  <c r="AF144" i="1"/>
  <c r="AE144" i="1"/>
  <c r="AD144" i="1"/>
  <c r="AC144" i="1"/>
  <c r="AB144" i="1"/>
  <c r="Z144" i="1"/>
  <c r="L144" i="1"/>
  <c r="BF144" i="1" s="1"/>
  <c r="J144" i="1"/>
  <c r="AL144" i="1" s="1"/>
  <c r="I144" i="1"/>
  <c r="BJ141" i="1"/>
  <c r="BD141" i="1"/>
  <c r="AP141" i="1"/>
  <c r="BI141" i="1" s="1"/>
  <c r="AE141" i="1" s="1"/>
  <c r="AO141" i="1"/>
  <c r="BH141" i="1" s="1"/>
  <c r="AD141" i="1" s="1"/>
  <c r="AK141" i="1"/>
  <c r="AJ141" i="1"/>
  <c r="AH141" i="1"/>
  <c r="AG141" i="1"/>
  <c r="AF141" i="1"/>
  <c r="AC141" i="1"/>
  <c r="AB141" i="1"/>
  <c r="Z141" i="1"/>
  <c r="L141" i="1"/>
  <c r="BF141" i="1" s="1"/>
  <c r="J141" i="1"/>
  <c r="AL141" i="1" s="1"/>
  <c r="I141" i="1"/>
  <c r="H141" i="1"/>
  <c r="BJ139" i="1"/>
  <c r="BD139" i="1"/>
  <c r="AX139" i="1"/>
  <c r="AW139" i="1"/>
  <c r="AP139" i="1"/>
  <c r="BI139" i="1" s="1"/>
  <c r="AE139" i="1" s="1"/>
  <c r="AO139" i="1"/>
  <c r="H139" i="1" s="1"/>
  <c r="AK139" i="1"/>
  <c r="AJ139" i="1"/>
  <c r="AH139" i="1"/>
  <c r="AG139" i="1"/>
  <c r="AF139" i="1"/>
  <c r="AC139" i="1"/>
  <c r="AB139" i="1"/>
  <c r="Z139" i="1"/>
  <c r="L139" i="1"/>
  <c r="BF139" i="1" s="1"/>
  <c r="J139" i="1"/>
  <c r="AL139" i="1" s="1"/>
  <c r="I139" i="1"/>
  <c r="BJ137" i="1"/>
  <c r="BD137" i="1"/>
  <c r="AP137" i="1"/>
  <c r="AX137" i="1" s="1"/>
  <c r="AO137" i="1"/>
  <c r="BH137" i="1" s="1"/>
  <c r="AD137" i="1" s="1"/>
  <c r="AK137" i="1"/>
  <c r="AJ137" i="1"/>
  <c r="AH137" i="1"/>
  <c r="AG137" i="1"/>
  <c r="AF137" i="1"/>
  <c r="AC137" i="1"/>
  <c r="AB137" i="1"/>
  <c r="Z137" i="1"/>
  <c r="L137" i="1"/>
  <c r="BF137" i="1" s="1"/>
  <c r="J137" i="1"/>
  <c r="AL137" i="1" s="1"/>
  <c r="I137" i="1"/>
  <c r="H137" i="1"/>
  <c r="BJ134" i="1"/>
  <c r="BF134" i="1"/>
  <c r="BD134" i="1"/>
  <c r="AW134" i="1"/>
  <c r="AP134" i="1"/>
  <c r="I134" i="1" s="1"/>
  <c r="AO134" i="1"/>
  <c r="BH134" i="1" s="1"/>
  <c r="AD134" i="1" s="1"/>
  <c r="AL134" i="1"/>
  <c r="AK134" i="1"/>
  <c r="AJ134" i="1"/>
  <c r="AH134" i="1"/>
  <c r="AG134" i="1"/>
  <c r="AF134" i="1"/>
  <c r="AC134" i="1"/>
  <c r="AB134" i="1"/>
  <c r="Z134" i="1"/>
  <c r="L134" i="1"/>
  <c r="J134" i="1"/>
  <c r="H134" i="1"/>
  <c r="BJ131" i="1"/>
  <c r="BF131" i="1"/>
  <c r="BD131" i="1"/>
  <c r="AP131" i="1"/>
  <c r="AO131" i="1"/>
  <c r="BH131" i="1" s="1"/>
  <c r="AD131" i="1" s="1"/>
  <c r="AK131" i="1"/>
  <c r="AJ131" i="1"/>
  <c r="AH131" i="1"/>
  <c r="AG131" i="1"/>
  <c r="AF131" i="1"/>
  <c r="AC131" i="1"/>
  <c r="AB131" i="1"/>
  <c r="Z131" i="1"/>
  <c r="L131" i="1"/>
  <c r="J131" i="1"/>
  <c r="AL131" i="1" s="1"/>
  <c r="H131" i="1"/>
  <c r="BJ129" i="1"/>
  <c r="BF129" i="1"/>
  <c r="BD129" i="1"/>
  <c r="AW129" i="1"/>
  <c r="AP129" i="1"/>
  <c r="I129" i="1" s="1"/>
  <c r="AO129" i="1"/>
  <c r="BH129" i="1" s="1"/>
  <c r="AD129" i="1" s="1"/>
  <c r="AK129" i="1"/>
  <c r="AJ129" i="1"/>
  <c r="AS128" i="1" s="1"/>
  <c r="AH129" i="1"/>
  <c r="AG129" i="1"/>
  <c r="AF129" i="1"/>
  <c r="AC129" i="1"/>
  <c r="AB129" i="1"/>
  <c r="Z129" i="1"/>
  <c r="L129" i="1"/>
  <c r="J129" i="1"/>
  <c r="H129" i="1"/>
  <c r="L128" i="1"/>
  <c r="BJ127" i="1"/>
  <c r="Z127" i="1" s="1"/>
  <c r="BD127" i="1"/>
  <c r="AX127" i="1"/>
  <c r="AP127" i="1"/>
  <c r="BI127" i="1" s="1"/>
  <c r="AO127" i="1"/>
  <c r="AK127" i="1"/>
  <c r="AJ127" i="1"/>
  <c r="AH127" i="1"/>
  <c r="AG127" i="1"/>
  <c r="AF127" i="1"/>
  <c r="AE127" i="1"/>
  <c r="AD127" i="1"/>
  <c r="AC127" i="1"/>
  <c r="AB127" i="1"/>
  <c r="L127" i="1"/>
  <c r="BF127" i="1" s="1"/>
  <c r="J127" i="1"/>
  <c r="AL127" i="1" s="1"/>
  <c r="I127" i="1"/>
  <c r="BJ125" i="1"/>
  <c r="BD125" i="1"/>
  <c r="AP125" i="1"/>
  <c r="BI125" i="1" s="1"/>
  <c r="AE125" i="1" s="1"/>
  <c r="AO125" i="1"/>
  <c r="H125" i="1" s="1"/>
  <c r="AK125" i="1"/>
  <c r="AJ125" i="1"/>
  <c r="AH125" i="1"/>
  <c r="AG125" i="1"/>
  <c r="AF125" i="1"/>
  <c r="AC125" i="1"/>
  <c r="AB125" i="1"/>
  <c r="Z125" i="1"/>
  <c r="L125" i="1"/>
  <c r="BF125" i="1" s="1"/>
  <c r="J125" i="1"/>
  <c r="AL125" i="1" s="1"/>
  <c r="I125" i="1"/>
  <c r="BJ123" i="1"/>
  <c r="BD123" i="1"/>
  <c r="AP123" i="1"/>
  <c r="BI123" i="1" s="1"/>
  <c r="AE123" i="1" s="1"/>
  <c r="AO123" i="1"/>
  <c r="AK123" i="1"/>
  <c r="AJ123" i="1"/>
  <c r="AH123" i="1"/>
  <c r="AG123" i="1"/>
  <c r="AF123" i="1"/>
  <c r="AC123" i="1"/>
  <c r="AB123" i="1"/>
  <c r="Z123" i="1"/>
  <c r="L123" i="1"/>
  <c r="BF123" i="1" s="1"/>
  <c r="J123" i="1"/>
  <c r="AL123" i="1" s="1"/>
  <c r="I123" i="1"/>
  <c r="BJ121" i="1"/>
  <c r="BD121" i="1"/>
  <c r="AP121" i="1"/>
  <c r="BI121" i="1" s="1"/>
  <c r="AE121" i="1" s="1"/>
  <c r="AO121" i="1"/>
  <c r="H121" i="1" s="1"/>
  <c r="AK121" i="1"/>
  <c r="AJ121" i="1"/>
  <c r="AH121" i="1"/>
  <c r="AG121" i="1"/>
  <c r="AF121" i="1"/>
  <c r="AC121" i="1"/>
  <c r="AB121" i="1"/>
  <c r="Z121" i="1"/>
  <c r="L121" i="1"/>
  <c r="BF121" i="1" s="1"/>
  <c r="J121" i="1"/>
  <c r="AL121" i="1" s="1"/>
  <c r="I121" i="1"/>
  <c r="BJ119" i="1"/>
  <c r="BD119" i="1"/>
  <c r="AP119" i="1"/>
  <c r="BI119" i="1" s="1"/>
  <c r="AE119" i="1" s="1"/>
  <c r="AO119" i="1"/>
  <c r="BH119" i="1" s="1"/>
  <c r="AD119" i="1" s="1"/>
  <c r="AK119" i="1"/>
  <c r="AJ119" i="1"/>
  <c r="AH119" i="1"/>
  <c r="AG119" i="1"/>
  <c r="AF119" i="1"/>
  <c r="AC119" i="1"/>
  <c r="AB119" i="1"/>
  <c r="Z119" i="1"/>
  <c r="L119" i="1"/>
  <c r="BF119" i="1" s="1"/>
  <c r="J119" i="1"/>
  <c r="AL119" i="1" s="1"/>
  <c r="I119" i="1"/>
  <c r="BJ115" i="1"/>
  <c r="BD115" i="1"/>
  <c r="AP115" i="1"/>
  <c r="BI115" i="1" s="1"/>
  <c r="AE115" i="1" s="1"/>
  <c r="AO115" i="1"/>
  <c r="H115" i="1" s="1"/>
  <c r="AK115" i="1"/>
  <c r="AJ115" i="1"/>
  <c r="AH115" i="1"/>
  <c r="AG115" i="1"/>
  <c r="AF115" i="1"/>
  <c r="AC115" i="1"/>
  <c r="AB115" i="1"/>
  <c r="Z115" i="1"/>
  <c r="L115" i="1"/>
  <c r="BF115" i="1" s="1"/>
  <c r="J115" i="1"/>
  <c r="AL115" i="1" s="1"/>
  <c r="I115" i="1"/>
  <c r="BJ110" i="1"/>
  <c r="BD110" i="1"/>
  <c r="AP110" i="1"/>
  <c r="BI110" i="1" s="1"/>
  <c r="AE110" i="1" s="1"/>
  <c r="AO110" i="1"/>
  <c r="AK110" i="1"/>
  <c r="AJ110" i="1"/>
  <c r="AH110" i="1"/>
  <c r="AG110" i="1"/>
  <c r="AF110" i="1"/>
  <c r="AC110" i="1"/>
  <c r="AB110" i="1"/>
  <c r="Z110" i="1"/>
  <c r="L110" i="1"/>
  <c r="BF110" i="1" s="1"/>
  <c r="J110" i="1"/>
  <c r="AL110" i="1" s="1"/>
  <c r="I110" i="1"/>
  <c r="BJ107" i="1"/>
  <c r="BD107" i="1"/>
  <c r="AP107" i="1"/>
  <c r="BI107" i="1" s="1"/>
  <c r="AE107" i="1" s="1"/>
  <c r="AO107" i="1"/>
  <c r="H107" i="1" s="1"/>
  <c r="AK107" i="1"/>
  <c r="AJ107" i="1"/>
  <c r="AH107" i="1"/>
  <c r="AG107" i="1"/>
  <c r="AF107" i="1"/>
  <c r="AC107" i="1"/>
  <c r="AB107" i="1"/>
  <c r="Z107" i="1"/>
  <c r="L107" i="1"/>
  <c r="J107" i="1"/>
  <c r="AL107" i="1" s="1"/>
  <c r="I107" i="1"/>
  <c r="AS106" i="1"/>
  <c r="J106" i="1"/>
  <c r="BJ105" i="1"/>
  <c r="Z105" i="1" s="1"/>
  <c r="BF105" i="1"/>
  <c r="BD105" i="1"/>
  <c r="AP105" i="1"/>
  <c r="I105" i="1" s="1"/>
  <c r="AO105" i="1"/>
  <c r="BH105" i="1" s="1"/>
  <c r="AK105" i="1"/>
  <c r="AJ105" i="1"/>
  <c r="AH105" i="1"/>
  <c r="AG105" i="1"/>
  <c r="AF105" i="1"/>
  <c r="AE105" i="1"/>
  <c r="AD105" i="1"/>
  <c r="AC105" i="1"/>
  <c r="AB105" i="1"/>
  <c r="L105" i="1"/>
  <c r="J105" i="1"/>
  <c r="AL105" i="1" s="1"/>
  <c r="H105" i="1"/>
  <c r="BJ102" i="1"/>
  <c r="BF102" i="1"/>
  <c r="BD102" i="1"/>
  <c r="AW102" i="1"/>
  <c r="AP102" i="1"/>
  <c r="AO102" i="1"/>
  <c r="BH102" i="1" s="1"/>
  <c r="AD102" i="1" s="1"/>
  <c r="AK102" i="1"/>
  <c r="AJ102" i="1"/>
  <c r="AH102" i="1"/>
  <c r="AG102" i="1"/>
  <c r="AF102" i="1"/>
  <c r="AC102" i="1"/>
  <c r="AB102" i="1"/>
  <c r="Z102" i="1"/>
  <c r="L102" i="1"/>
  <c r="J102" i="1"/>
  <c r="AL102" i="1" s="1"/>
  <c r="H102" i="1"/>
  <c r="BJ98" i="1"/>
  <c r="BF98" i="1"/>
  <c r="BD98" i="1"/>
  <c r="AP98" i="1"/>
  <c r="I98" i="1" s="1"/>
  <c r="AO98" i="1"/>
  <c r="BH98" i="1" s="1"/>
  <c r="AD98" i="1" s="1"/>
  <c r="AK98" i="1"/>
  <c r="AJ98" i="1"/>
  <c r="AH98" i="1"/>
  <c r="AG98" i="1"/>
  <c r="AF98" i="1"/>
  <c r="AC98" i="1"/>
  <c r="AB98" i="1"/>
  <c r="Z98" i="1"/>
  <c r="L98" i="1"/>
  <c r="J98" i="1"/>
  <c r="AL98" i="1" s="1"/>
  <c r="H98" i="1"/>
  <c r="BJ94" i="1"/>
  <c r="BF94" i="1"/>
  <c r="BD94" i="1"/>
  <c r="AP94" i="1"/>
  <c r="AO94" i="1"/>
  <c r="BH94" i="1" s="1"/>
  <c r="AD94" i="1" s="1"/>
  <c r="AK94" i="1"/>
  <c r="AJ94" i="1"/>
  <c r="AH94" i="1"/>
  <c r="AG94" i="1"/>
  <c r="AF94" i="1"/>
  <c r="AC94" i="1"/>
  <c r="AB94" i="1"/>
  <c r="Z94" i="1"/>
  <c r="L94" i="1"/>
  <c r="J94" i="1"/>
  <c r="AL94" i="1" s="1"/>
  <c r="H94" i="1"/>
  <c r="BJ90" i="1"/>
  <c r="BF90" i="1"/>
  <c r="BD90" i="1"/>
  <c r="AP90" i="1"/>
  <c r="I90" i="1" s="1"/>
  <c r="AO90" i="1"/>
  <c r="BH90" i="1" s="1"/>
  <c r="AD90" i="1" s="1"/>
  <c r="AK90" i="1"/>
  <c r="AJ90" i="1"/>
  <c r="AH90" i="1"/>
  <c r="AG90" i="1"/>
  <c r="AF90" i="1"/>
  <c r="AC90" i="1"/>
  <c r="AB90" i="1"/>
  <c r="Z90" i="1"/>
  <c r="L90" i="1"/>
  <c r="J90" i="1"/>
  <c r="AL90" i="1" s="1"/>
  <c r="H90" i="1"/>
  <c r="BJ86" i="1"/>
  <c r="BF86" i="1"/>
  <c r="BD86" i="1"/>
  <c r="AP86" i="1"/>
  <c r="AO86" i="1"/>
  <c r="BH86" i="1" s="1"/>
  <c r="AD86" i="1" s="1"/>
  <c r="AK86" i="1"/>
  <c r="AJ86" i="1"/>
  <c r="AH86" i="1"/>
  <c r="AG86" i="1"/>
  <c r="AF86" i="1"/>
  <c r="AC86" i="1"/>
  <c r="AB86" i="1"/>
  <c r="Z86" i="1"/>
  <c r="L86" i="1"/>
  <c r="J86" i="1"/>
  <c r="AL86" i="1" s="1"/>
  <c r="BJ83" i="1"/>
  <c r="BF83" i="1"/>
  <c r="BD83" i="1"/>
  <c r="AP83" i="1"/>
  <c r="I83" i="1" s="1"/>
  <c r="AO83" i="1"/>
  <c r="BH83" i="1" s="1"/>
  <c r="AD83" i="1" s="1"/>
  <c r="AK83" i="1"/>
  <c r="AJ83" i="1"/>
  <c r="AS82" i="1" s="1"/>
  <c r="AH83" i="1"/>
  <c r="AG83" i="1"/>
  <c r="AF83" i="1"/>
  <c r="AC83" i="1"/>
  <c r="AB83" i="1"/>
  <c r="Z83" i="1"/>
  <c r="L83" i="1"/>
  <c r="J83" i="1"/>
  <c r="H83" i="1"/>
  <c r="AT82" i="1"/>
  <c r="L82" i="1"/>
  <c r="BJ81" i="1"/>
  <c r="Z81" i="1" s="1"/>
  <c r="BD81" i="1"/>
  <c r="AP81" i="1"/>
  <c r="BI81" i="1" s="1"/>
  <c r="AO81" i="1"/>
  <c r="AK81" i="1"/>
  <c r="AJ81" i="1"/>
  <c r="AH81" i="1"/>
  <c r="AG81" i="1"/>
  <c r="AF81" i="1"/>
  <c r="AE81" i="1"/>
  <c r="AD81" i="1"/>
  <c r="AC81" i="1"/>
  <c r="AB81" i="1"/>
  <c r="L81" i="1"/>
  <c r="BF81" i="1" s="1"/>
  <c r="J81" i="1"/>
  <c r="AL81" i="1" s="1"/>
  <c r="I81" i="1"/>
  <c r="BJ79" i="1"/>
  <c r="BD79" i="1"/>
  <c r="AX79" i="1"/>
  <c r="AP79" i="1"/>
  <c r="BI79" i="1" s="1"/>
  <c r="AE79" i="1" s="1"/>
  <c r="AO79" i="1"/>
  <c r="AK79" i="1"/>
  <c r="AJ79" i="1"/>
  <c r="AH79" i="1"/>
  <c r="AG79" i="1"/>
  <c r="AF79" i="1"/>
  <c r="AC79" i="1"/>
  <c r="AB79" i="1"/>
  <c r="Z79" i="1"/>
  <c r="L79" i="1"/>
  <c r="BF79" i="1" s="1"/>
  <c r="J79" i="1"/>
  <c r="AL79" i="1" s="1"/>
  <c r="AU75" i="1" s="1"/>
  <c r="I79" i="1"/>
  <c r="BJ76" i="1"/>
  <c r="BH76" i="1"/>
  <c r="BD76" i="1"/>
  <c r="AP76" i="1"/>
  <c r="AO76" i="1"/>
  <c r="AW76" i="1" s="1"/>
  <c r="AK76" i="1"/>
  <c r="AJ76" i="1"/>
  <c r="AS75" i="1" s="1"/>
  <c r="AH76" i="1"/>
  <c r="AG76" i="1"/>
  <c r="AF76" i="1"/>
  <c r="AD76" i="1"/>
  <c r="AC76" i="1"/>
  <c r="AB76" i="1"/>
  <c r="Z76" i="1"/>
  <c r="L76" i="1"/>
  <c r="J76" i="1"/>
  <c r="AL76" i="1" s="1"/>
  <c r="H76" i="1"/>
  <c r="J75" i="1"/>
  <c r="BJ74" i="1"/>
  <c r="Z74" i="1" s="1"/>
  <c r="BD74" i="1"/>
  <c r="AP74" i="1"/>
  <c r="AO74" i="1"/>
  <c r="BH74" i="1" s="1"/>
  <c r="AK74" i="1"/>
  <c r="AT73" i="1" s="1"/>
  <c r="AJ74" i="1"/>
  <c r="AS73" i="1" s="1"/>
  <c r="AH74" i="1"/>
  <c r="AG74" i="1"/>
  <c r="AF74" i="1"/>
  <c r="AE74" i="1"/>
  <c r="AD74" i="1"/>
  <c r="AC74" i="1"/>
  <c r="AB74" i="1"/>
  <c r="L74" i="1"/>
  <c r="BF74" i="1" s="1"/>
  <c r="J74" i="1"/>
  <c r="AL74" i="1" s="1"/>
  <c r="AU73" i="1" s="1"/>
  <c r="H74" i="1"/>
  <c r="H73" i="1" s="1"/>
  <c r="L73" i="1"/>
  <c r="J73" i="1"/>
  <c r="BJ72" i="1"/>
  <c r="Z72" i="1" s="1"/>
  <c r="BF72" i="1"/>
  <c r="BD72" i="1"/>
  <c r="AW72" i="1"/>
  <c r="AP72" i="1"/>
  <c r="BI72" i="1" s="1"/>
  <c r="AO72" i="1"/>
  <c r="BH72" i="1" s="1"/>
  <c r="AK72" i="1"/>
  <c r="AJ72" i="1"/>
  <c r="AH72" i="1"/>
  <c r="AG72" i="1"/>
  <c r="AF72" i="1"/>
  <c r="AE72" i="1"/>
  <c r="AD72" i="1"/>
  <c r="AC72" i="1"/>
  <c r="AB72" i="1"/>
  <c r="L72" i="1"/>
  <c r="J72" i="1"/>
  <c r="AL72" i="1" s="1"/>
  <c r="H72" i="1"/>
  <c r="BJ71" i="1"/>
  <c r="Z71" i="1" s="1"/>
  <c r="BD71" i="1"/>
  <c r="AP71" i="1"/>
  <c r="I71" i="1" s="1"/>
  <c r="AO71" i="1"/>
  <c r="AK71" i="1"/>
  <c r="AJ71" i="1"/>
  <c r="AH71" i="1"/>
  <c r="AG71" i="1"/>
  <c r="AF71" i="1"/>
  <c r="AE71" i="1"/>
  <c r="AD71" i="1"/>
  <c r="AC71" i="1"/>
  <c r="AB71" i="1"/>
  <c r="L71" i="1"/>
  <c r="BF71" i="1" s="1"/>
  <c r="J71" i="1"/>
  <c r="AL71" i="1" s="1"/>
  <c r="BJ69" i="1"/>
  <c r="Z69" i="1" s="1"/>
  <c r="BF69" i="1"/>
  <c r="BD69" i="1"/>
  <c r="AW69" i="1"/>
  <c r="AP69" i="1"/>
  <c r="BI69" i="1" s="1"/>
  <c r="AO69" i="1"/>
  <c r="BH69" i="1" s="1"/>
  <c r="AK69" i="1"/>
  <c r="AJ69" i="1"/>
  <c r="AH69" i="1"/>
  <c r="AG69" i="1"/>
  <c r="AF69" i="1"/>
  <c r="AE69" i="1"/>
  <c r="AD69" i="1"/>
  <c r="AC69" i="1"/>
  <c r="AB69" i="1"/>
  <c r="L69" i="1"/>
  <c r="J69" i="1"/>
  <c r="AL69" i="1" s="1"/>
  <c r="H69" i="1"/>
  <c r="BJ68" i="1"/>
  <c r="BD68" i="1"/>
  <c r="AP68" i="1"/>
  <c r="I68" i="1" s="1"/>
  <c r="AO68" i="1"/>
  <c r="BH68" i="1" s="1"/>
  <c r="AK68" i="1"/>
  <c r="AJ68" i="1"/>
  <c r="AS67" i="1" s="1"/>
  <c r="AH68" i="1"/>
  <c r="AG68" i="1"/>
  <c r="AF68" i="1"/>
  <c r="AE68" i="1"/>
  <c r="AD68" i="1"/>
  <c r="AC68" i="1"/>
  <c r="AB68" i="1"/>
  <c r="Z68" i="1"/>
  <c r="L68" i="1"/>
  <c r="J68" i="1"/>
  <c r="AL68" i="1" s="1"/>
  <c r="BJ65" i="1"/>
  <c r="BD65" i="1"/>
  <c r="AP65" i="1"/>
  <c r="BI65" i="1" s="1"/>
  <c r="AC65" i="1" s="1"/>
  <c r="AO65" i="1"/>
  <c r="BH65" i="1" s="1"/>
  <c r="AB65" i="1" s="1"/>
  <c r="AK65" i="1"/>
  <c r="AJ65" i="1"/>
  <c r="AH65" i="1"/>
  <c r="AG65" i="1"/>
  <c r="AF65" i="1"/>
  <c r="AE65" i="1"/>
  <c r="AD65" i="1"/>
  <c r="Z65" i="1"/>
  <c r="L65" i="1"/>
  <c r="BF65" i="1" s="1"/>
  <c r="J65" i="1"/>
  <c r="AL65" i="1" s="1"/>
  <c r="BJ61" i="1"/>
  <c r="BF61" i="1"/>
  <c r="BD61" i="1"/>
  <c r="AP61" i="1"/>
  <c r="BI61" i="1" s="1"/>
  <c r="AO61" i="1"/>
  <c r="H61" i="1" s="1"/>
  <c r="AK61" i="1"/>
  <c r="AJ61" i="1"/>
  <c r="AH61" i="1"/>
  <c r="AG61" i="1"/>
  <c r="AF61" i="1"/>
  <c r="AE61" i="1"/>
  <c r="AD61" i="1"/>
  <c r="AC61" i="1"/>
  <c r="Z61" i="1"/>
  <c r="L61" i="1"/>
  <c r="J61" i="1"/>
  <c r="J57" i="1" s="1"/>
  <c r="I61" i="1"/>
  <c r="BJ58" i="1"/>
  <c r="BD58" i="1"/>
  <c r="AP58" i="1"/>
  <c r="AO58" i="1"/>
  <c r="BH58" i="1" s="1"/>
  <c r="AB58" i="1" s="1"/>
  <c r="AK58" i="1"/>
  <c r="AT57" i="1" s="1"/>
  <c r="AJ58" i="1"/>
  <c r="AS57" i="1" s="1"/>
  <c r="AH58" i="1"/>
  <c r="AG58" i="1"/>
  <c r="AF58" i="1"/>
  <c r="AE58" i="1"/>
  <c r="AD58" i="1"/>
  <c r="Z58" i="1"/>
  <c r="L58" i="1"/>
  <c r="BF58" i="1" s="1"/>
  <c r="J58" i="1"/>
  <c r="AL58" i="1" s="1"/>
  <c r="H58" i="1"/>
  <c r="L57" i="1"/>
  <c r="BJ53" i="1"/>
  <c r="BF53" i="1"/>
  <c r="BD53" i="1"/>
  <c r="AP53" i="1"/>
  <c r="BI53" i="1" s="1"/>
  <c r="AC53" i="1" s="1"/>
  <c r="AO53" i="1"/>
  <c r="BH53" i="1" s="1"/>
  <c r="AK53" i="1"/>
  <c r="AT50" i="1" s="1"/>
  <c r="AJ53" i="1"/>
  <c r="AH53" i="1"/>
  <c r="AG53" i="1"/>
  <c r="AF53" i="1"/>
  <c r="AE53" i="1"/>
  <c r="AD53" i="1"/>
  <c r="AB53" i="1"/>
  <c r="Z53" i="1"/>
  <c r="L53" i="1"/>
  <c r="J53" i="1"/>
  <c r="AL53" i="1" s="1"/>
  <c r="I53" i="1"/>
  <c r="H53" i="1"/>
  <c r="BJ51" i="1"/>
  <c r="BD51" i="1"/>
  <c r="AP51" i="1"/>
  <c r="I51" i="1" s="1"/>
  <c r="AO51" i="1"/>
  <c r="AK51" i="1"/>
  <c r="AJ51" i="1"/>
  <c r="AH51" i="1"/>
  <c r="AG51" i="1"/>
  <c r="AF51" i="1"/>
  <c r="AE51" i="1"/>
  <c r="AD51" i="1"/>
  <c r="Z51" i="1"/>
  <c r="L51" i="1"/>
  <c r="J51" i="1"/>
  <c r="AL51" i="1" s="1"/>
  <c r="J50" i="1"/>
  <c r="BJ48" i="1"/>
  <c r="BD48" i="1"/>
  <c r="AP48" i="1"/>
  <c r="AO48" i="1"/>
  <c r="BH48" i="1" s="1"/>
  <c r="AB48" i="1" s="1"/>
  <c r="AK48" i="1"/>
  <c r="AT47" i="1" s="1"/>
  <c r="AJ48" i="1"/>
  <c r="AS47" i="1" s="1"/>
  <c r="AH48" i="1"/>
  <c r="AG48" i="1"/>
  <c r="AF48" i="1"/>
  <c r="AE48" i="1"/>
  <c r="AD48" i="1"/>
  <c r="Z48" i="1"/>
  <c r="L48" i="1"/>
  <c r="BF48" i="1" s="1"/>
  <c r="J48" i="1"/>
  <c r="AL48" i="1" s="1"/>
  <c r="AU47" i="1" s="1"/>
  <c r="L47" i="1"/>
  <c r="J47" i="1"/>
  <c r="BJ44" i="1"/>
  <c r="BF44" i="1"/>
  <c r="BD44" i="1"/>
  <c r="AP44" i="1"/>
  <c r="BI44" i="1" s="1"/>
  <c r="AC44" i="1" s="1"/>
  <c r="AO44" i="1"/>
  <c r="BH44" i="1" s="1"/>
  <c r="AB44" i="1" s="1"/>
  <c r="AK44" i="1"/>
  <c r="AT43" i="1" s="1"/>
  <c r="AJ44" i="1"/>
  <c r="AH44" i="1"/>
  <c r="AG44" i="1"/>
  <c r="AF44" i="1"/>
  <c r="AE44" i="1"/>
  <c r="AD44" i="1"/>
  <c r="Z44" i="1"/>
  <c r="L44" i="1"/>
  <c r="J44" i="1"/>
  <c r="J43" i="1" s="1"/>
  <c r="I44" i="1"/>
  <c r="I43" i="1" s="1"/>
  <c r="H44" i="1"/>
  <c r="H43" i="1" s="1"/>
  <c r="AS43" i="1"/>
  <c r="L43" i="1"/>
  <c r="BJ39" i="1"/>
  <c r="BF39" i="1"/>
  <c r="BD39" i="1"/>
  <c r="AW39" i="1"/>
  <c r="AP39" i="1"/>
  <c r="BI39" i="1" s="1"/>
  <c r="AC39" i="1" s="1"/>
  <c r="AO39" i="1"/>
  <c r="H39" i="1" s="1"/>
  <c r="AK39" i="1"/>
  <c r="AJ39" i="1"/>
  <c r="AH39" i="1"/>
  <c r="AG39" i="1"/>
  <c r="AF39" i="1"/>
  <c r="AE39" i="1"/>
  <c r="AD39" i="1"/>
  <c r="Z39" i="1"/>
  <c r="L39" i="1"/>
  <c r="J39" i="1"/>
  <c r="AL39" i="1" s="1"/>
  <c r="I39" i="1"/>
  <c r="BJ36" i="1"/>
  <c r="BD36" i="1"/>
  <c r="AP36" i="1"/>
  <c r="BI36" i="1" s="1"/>
  <c r="AC36" i="1" s="1"/>
  <c r="AO36" i="1"/>
  <c r="BH36" i="1" s="1"/>
  <c r="AB36" i="1" s="1"/>
  <c r="AK36" i="1"/>
  <c r="AJ36" i="1"/>
  <c r="AH36" i="1"/>
  <c r="AG36" i="1"/>
  <c r="AF36" i="1"/>
  <c r="AE36" i="1"/>
  <c r="AD36" i="1"/>
  <c r="Z36" i="1"/>
  <c r="L36" i="1"/>
  <c r="BF36" i="1" s="1"/>
  <c r="J36" i="1"/>
  <c r="AL36" i="1" s="1"/>
  <c r="H36" i="1"/>
  <c r="BJ33" i="1"/>
  <c r="BF33" i="1"/>
  <c r="BD33" i="1"/>
  <c r="AX33" i="1"/>
  <c r="AW33" i="1"/>
  <c r="AP33" i="1"/>
  <c r="BI33" i="1" s="1"/>
  <c r="AC33" i="1" s="1"/>
  <c r="AO33" i="1"/>
  <c r="H33" i="1" s="1"/>
  <c r="AK33" i="1"/>
  <c r="AJ33" i="1"/>
  <c r="AS30" i="1" s="1"/>
  <c r="AH33" i="1"/>
  <c r="AG33" i="1"/>
  <c r="AF33" i="1"/>
  <c r="AE33" i="1"/>
  <c r="AD33" i="1"/>
  <c r="Z33" i="1"/>
  <c r="L33" i="1"/>
  <c r="J33" i="1"/>
  <c r="AL33" i="1" s="1"/>
  <c r="I33" i="1"/>
  <c r="BJ31" i="1"/>
  <c r="BD31" i="1"/>
  <c r="AP31" i="1"/>
  <c r="AX31" i="1" s="1"/>
  <c r="AO31" i="1"/>
  <c r="BH31" i="1" s="1"/>
  <c r="AB31" i="1" s="1"/>
  <c r="AK31" i="1"/>
  <c r="AJ31" i="1"/>
  <c r="AH31" i="1"/>
  <c r="AG31" i="1"/>
  <c r="AF31" i="1"/>
  <c r="AE31" i="1"/>
  <c r="AD31" i="1"/>
  <c r="Z31" i="1"/>
  <c r="L31" i="1"/>
  <c r="BF31" i="1" s="1"/>
  <c r="J31" i="1"/>
  <c r="AL31" i="1" s="1"/>
  <c r="I31" i="1"/>
  <c r="H31" i="1"/>
  <c r="H30" i="1" s="1"/>
  <c r="L30" i="1"/>
  <c r="BJ27" i="1"/>
  <c r="BF27" i="1"/>
  <c r="BD27" i="1"/>
  <c r="AW27" i="1"/>
  <c r="AP27" i="1"/>
  <c r="BI27" i="1" s="1"/>
  <c r="AO27" i="1"/>
  <c r="BH27" i="1" s="1"/>
  <c r="AK27" i="1"/>
  <c r="AT26" i="1" s="1"/>
  <c r="AJ27" i="1"/>
  <c r="AS26" i="1" s="1"/>
  <c r="AH27" i="1"/>
  <c r="AG27" i="1"/>
  <c r="AF27" i="1"/>
  <c r="AE27" i="1"/>
  <c r="AD27" i="1"/>
  <c r="AC27" i="1"/>
  <c r="AB27" i="1"/>
  <c r="Z27" i="1"/>
  <c r="L27" i="1"/>
  <c r="J27" i="1"/>
  <c r="J26" i="1" s="1"/>
  <c r="I27" i="1"/>
  <c r="I26" i="1" s="1"/>
  <c r="H27" i="1"/>
  <c r="H26" i="1" s="1"/>
  <c r="L26" i="1"/>
  <c r="BJ24" i="1"/>
  <c r="BD24" i="1"/>
  <c r="AP24" i="1"/>
  <c r="AX24" i="1" s="1"/>
  <c r="AO24" i="1"/>
  <c r="BH24" i="1" s="1"/>
  <c r="AB24" i="1" s="1"/>
  <c r="AK24" i="1"/>
  <c r="AT23" i="1" s="1"/>
  <c r="AJ24" i="1"/>
  <c r="AS23" i="1" s="1"/>
  <c r="AH24" i="1"/>
  <c r="AG24" i="1"/>
  <c r="AF24" i="1"/>
  <c r="AE24" i="1"/>
  <c r="AD24" i="1"/>
  <c r="Z24" i="1"/>
  <c r="L24" i="1"/>
  <c r="BF24" i="1" s="1"/>
  <c r="J24" i="1"/>
  <c r="AL24" i="1" s="1"/>
  <c r="AU23" i="1" s="1"/>
  <c r="H24" i="1"/>
  <c r="H23" i="1" s="1"/>
  <c r="L23" i="1"/>
  <c r="BJ21" i="1"/>
  <c r="BF21" i="1"/>
  <c r="BD21" i="1"/>
  <c r="AP21" i="1"/>
  <c r="BI21" i="1" s="1"/>
  <c r="AC21" i="1" s="1"/>
  <c r="AO21" i="1"/>
  <c r="BH21" i="1" s="1"/>
  <c r="AB21" i="1" s="1"/>
  <c r="AK21" i="1"/>
  <c r="AT20" i="1" s="1"/>
  <c r="AJ21" i="1"/>
  <c r="AH21" i="1"/>
  <c r="AG21" i="1"/>
  <c r="AF21" i="1"/>
  <c r="AE21" i="1"/>
  <c r="AD21" i="1"/>
  <c r="Z21" i="1"/>
  <c r="L21" i="1"/>
  <c r="J21" i="1"/>
  <c r="J20" i="1" s="1"/>
  <c r="I21" i="1"/>
  <c r="I20" i="1" s="1"/>
  <c r="H21" i="1"/>
  <c r="AS20" i="1"/>
  <c r="L20" i="1"/>
  <c r="H20" i="1"/>
  <c r="BJ17" i="1"/>
  <c r="BF17" i="1"/>
  <c r="BD17" i="1"/>
  <c r="AX17" i="1"/>
  <c r="AP17" i="1"/>
  <c r="BI17" i="1" s="1"/>
  <c r="AC17" i="1" s="1"/>
  <c r="AO17" i="1"/>
  <c r="H17" i="1" s="1"/>
  <c r="H16" i="1" s="1"/>
  <c r="AK17" i="1"/>
  <c r="AT16" i="1" s="1"/>
  <c r="AJ17" i="1"/>
  <c r="AH17" i="1"/>
  <c r="AG17" i="1"/>
  <c r="AF17" i="1"/>
  <c r="AE17" i="1"/>
  <c r="AD17" i="1"/>
  <c r="Z17" i="1"/>
  <c r="L17" i="1"/>
  <c r="L16" i="1" s="1"/>
  <c r="J17" i="1"/>
  <c r="AL17" i="1" s="1"/>
  <c r="AU16" i="1" s="1"/>
  <c r="I17" i="1"/>
  <c r="I16" i="1" s="1"/>
  <c r="AS16" i="1"/>
  <c r="BJ13" i="1"/>
  <c r="BD13" i="1"/>
  <c r="AP13" i="1"/>
  <c r="BI13" i="1" s="1"/>
  <c r="AC13" i="1" s="1"/>
  <c r="AO13" i="1"/>
  <c r="AW13" i="1" s="1"/>
  <c r="AK13" i="1"/>
  <c r="AJ13" i="1"/>
  <c r="AS12" i="1" s="1"/>
  <c r="AH13" i="1"/>
  <c r="AG13" i="1"/>
  <c r="AF13" i="1"/>
  <c r="AE13" i="1"/>
  <c r="AD13" i="1"/>
  <c r="Z13" i="1"/>
  <c r="L13" i="1"/>
  <c r="BF13" i="1" s="1"/>
  <c r="J13" i="1"/>
  <c r="AL13" i="1" s="1"/>
  <c r="AT12" i="1"/>
  <c r="J12" i="1"/>
  <c r="AU1" i="1"/>
  <c r="AT1" i="1"/>
  <c r="AS1" i="1"/>
  <c r="BI217" i="1" l="1"/>
  <c r="AT212" i="1"/>
  <c r="AX217" i="1"/>
  <c r="F37" i="3"/>
  <c r="I37" i="3" s="1"/>
  <c r="AW215" i="1"/>
  <c r="BH215" i="1"/>
  <c r="I215" i="1"/>
  <c r="I212" i="1" s="1"/>
  <c r="I208" i="1" s="1"/>
  <c r="AX215" i="1"/>
  <c r="AV215" i="1" s="1"/>
  <c r="J209" i="1"/>
  <c r="J208" i="1" s="1"/>
  <c r="AL204" i="1"/>
  <c r="AU203" i="1" s="1"/>
  <c r="AX204" i="1"/>
  <c r="AS203" i="1"/>
  <c r="BH204" i="1"/>
  <c r="AD204" i="1" s="1"/>
  <c r="AW204" i="1"/>
  <c r="BC204" i="1" s="1"/>
  <c r="BI200" i="1"/>
  <c r="AE200" i="1" s="1"/>
  <c r="AX200" i="1"/>
  <c r="AU194" i="1"/>
  <c r="AW197" i="1"/>
  <c r="J194" i="1"/>
  <c r="AS194" i="1"/>
  <c r="H197" i="1"/>
  <c r="BH195" i="1"/>
  <c r="AD195" i="1" s="1"/>
  <c r="BI193" i="1"/>
  <c r="AX193" i="1"/>
  <c r="AV193" i="1" s="1"/>
  <c r="BH193" i="1"/>
  <c r="AX191" i="1"/>
  <c r="AX188" i="1"/>
  <c r="AW186" i="1"/>
  <c r="AX186" i="1"/>
  <c r="I186" i="1"/>
  <c r="BH179" i="1"/>
  <c r="AD179" i="1" s="1"/>
  <c r="AX177" i="1"/>
  <c r="BC175" i="1"/>
  <c r="BH175" i="1"/>
  <c r="AD175" i="1" s="1"/>
  <c r="BI175" i="1"/>
  <c r="AE175" i="1" s="1"/>
  <c r="AX172" i="1"/>
  <c r="AS167" i="1"/>
  <c r="BI170" i="1"/>
  <c r="AE170" i="1" s="1"/>
  <c r="AT157" i="1"/>
  <c r="AX160" i="1"/>
  <c r="AW156" i="1"/>
  <c r="AW151" i="1"/>
  <c r="BC151" i="1" s="1"/>
  <c r="H145" i="1"/>
  <c r="AL146" i="1"/>
  <c r="AU145" i="1" s="1"/>
  <c r="AS145" i="1"/>
  <c r="AX144" i="1"/>
  <c r="BH139" i="1"/>
  <c r="AD139" i="1" s="1"/>
  <c r="AW131" i="1"/>
  <c r="AV131" i="1" s="1"/>
  <c r="AX125" i="1"/>
  <c r="AX123" i="1"/>
  <c r="AX121" i="1"/>
  <c r="AX119" i="1"/>
  <c r="AX115" i="1"/>
  <c r="I106" i="1"/>
  <c r="AX110" i="1"/>
  <c r="AX107" i="1"/>
  <c r="AW105" i="1"/>
  <c r="AW98" i="1"/>
  <c r="AW94" i="1"/>
  <c r="AW90" i="1"/>
  <c r="H86" i="1"/>
  <c r="AW86" i="1"/>
  <c r="AW83" i="1"/>
  <c r="AX81" i="1"/>
  <c r="AT75" i="1"/>
  <c r="I72" i="1"/>
  <c r="AX71" i="1"/>
  <c r="AU67" i="1"/>
  <c r="I69" i="1"/>
  <c r="AX68" i="1"/>
  <c r="J67" i="1"/>
  <c r="H65" i="1"/>
  <c r="H57" i="1" s="1"/>
  <c r="AW61" i="1"/>
  <c r="BC61" i="1" s="1"/>
  <c r="AL61" i="1"/>
  <c r="AU57" i="1" s="1"/>
  <c r="AX61" i="1"/>
  <c r="AS50" i="1"/>
  <c r="AW53" i="1"/>
  <c r="AU50" i="1"/>
  <c r="AX51" i="1"/>
  <c r="H48" i="1"/>
  <c r="H47" i="1" s="1"/>
  <c r="AW44" i="1"/>
  <c r="AX39" i="1"/>
  <c r="BC39" i="1" s="1"/>
  <c r="AT30" i="1"/>
  <c r="BI31" i="1"/>
  <c r="AC31" i="1" s="1"/>
  <c r="J23" i="1"/>
  <c r="AW21" i="1"/>
  <c r="C20" i="2"/>
  <c r="AW17" i="1"/>
  <c r="AV17" i="1" s="1"/>
  <c r="I13" i="1"/>
  <c r="I12" i="1" s="1"/>
  <c r="AX13" i="1"/>
  <c r="AV13" i="1"/>
  <c r="BC13" i="1"/>
  <c r="I128" i="1"/>
  <c r="AU12" i="1"/>
  <c r="BH13" i="1"/>
  <c r="AB13" i="1" s="1"/>
  <c r="BF51" i="1"/>
  <c r="L50" i="1"/>
  <c r="AX74" i="1"/>
  <c r="I74" i="1"/>
  <c r="I73" i="1" s="1"/>
  <c r="L12" i="1"/>
  <c r="H13" i="1"/>
  <c r="H12" i="1" s="1"/>
  <c r="C27" i="2"/>
  <c r="J16" i="1"/>
  <c r="BH17" i="1"/>
  <c r="AB17" i="1" s="1"/>
  <c r="AL21" i="1"/>
  <c r="AU20" i="1" s="1"/>
  <c r="I24" i="1"/>
  <c r="I23" i="1" s="1"/>
  <c r="AL27" i="1"/>
  <c r="AU26" i="1" s="1"/>
  <c r="AV33" i="1"/>
  <c r="BC33" i="1"/>
  <c r="AW51" i="1"/>
  <c r="H51" i="1"/>
  <c r="H50" i="1" s="1"/>
  <c r="BH51" i="1"/>
  <c r="AB51" i="1" s="1"/>
  <c r="AX65" i="1"/>
  <c r="I65" i="1"/>
  <c r="BF68" i="1"/>
  <c r="L67" i="1"/>
  <c r="BF76" i="1"/>
  <c r="L75" i="1"/>
  <c r="BI24" i="1"/>
  <c r="AC24" i="1" s="1"/>
  <c r="AX48" i="1"/>
  <c r="I48" i="1"/>
  <c r="I47" i="1" s="1"/>
  <c r="AV61" i="1"/>
  <c r="BI76" i="1"/>
  <c r="AE76" i="1" s="1"/>
  <c r="AX76" i="1"/>
  <c r="AV76" i="1" s="1"/>
  <c r="I76" i="1"/>
  <c r="I75" i="1" s="1"/>
  <c r="C18" i="2"/>
  <c r="C28" i="2"/>
  <c r="F28" i="2" s="1"/>
  <c r="BC17" i="1"/>
  <c r="AX21" i="1"/>
  <c r="AV21" i="1" s="1"/>
  <c r="AW24" i="1"/>
  <c r="AU30" i="1"/>
  <c r="AX36" i="1"/>
  <c r="I36" i="1"/>
  <c r="I30" i="1" s="1"/>
  <c r="AV39" i="1"/>
  <c r="I50" i="1"/>
  <c r="AT67" i="1"/>
  <c r="AW71" i="1"/>
  <c r="H71" i="1"/>
  <c r="BH71" i="1"/>
  <c r="AX58" i="1"/>
  <c r="I58" i="1"/>
  <c r="I57" i="1" s="1"/>
  <c r="AW68" i="1"/>
  <c r="H68" i="1"/>
  <c r="AW119" i="1"/>
  <c r="H119" i="1"/>
  <c r="BC215" i="1"/>
  <c r="I27" i="3"/>
  <c r="I14" i="2"/>
  <c r="I22" i="2" s="1"/>
  <c r="C21" i="2"/>
  <c r="C19" i="2"/>
  <c r="J30" i="1"/>
  <c r="BI48" i="1"/>
  <c r="AC48" i="1" s="1"/>
  <c r="BI58" i="1"/>
  <c r="AC58" i="1" s="1"/>
  <c r="BI74" i="1"/>
  <c r="J82" i="1"/>
  <c r="AL83" i="1"/>
  <c r="AU82" i="1" s="1"/>
  <c r="AX94" i="1"/>
  <c r="I94" i="1"/>
  <c r="BI94" i="1"/>
  <c r="AE94" i="1" s="1"/>
  <c r="J128" i="1"/>
  <c r="AL129" i="1"/>
  <c r="AU128" i="1" s="1"/>
  <c r="BH33" i="1"/>
  <c r="AB33" i="1" s="1"/>
  <c r="BH39" i="1"/>
  <c r="AB39" i="1" s="1"/>
  <c r="AL44" i="1"/>
  <c r="AU43" i="1" s="1"/>
  <c r="BI51" i="1"/>
  <c r="AC51" i="1" s="1"/>
  <c r="BH61" i="1"/>
  <c r="AB61" i="1" s="1"/>
  <c r="BI68" i="1"/>
  <c r="BI71" i="1"/>
  <c r="AW81" i="1"/>
  <c r="H81" i="1"/>
  <c r="AV94" i="1"/>
  <c r="AU106" i="1"/>
  <c r="AW110" i="1"/>
  <c r="H110" i="1"/>
  <c r="BH110" i="1"/>
  <c r="AD110" i="1" s="1"/>
  <c r="AW144" i="1"/>
  <c r="H144" i="1"/>
  <c r="H128" i="1" s="1"/>
  <c r="BH144" i="1"/>
  <c r="BF183" i="1"/>
  <c r="L167" i="1"/>
  <c r="BC186" i="1"/>
  <c r="AV186" i="1"/>
  <c r="AX27" i="1"/>
  <c r="AV27" i="1" s="1"/>
  <c r="AW31" i="1"/>
  <c r="AW36" i="1"/>
  <c r="AX44" i="1"/>
  <c r="AV44" i="1" s="1"/>
  <c r="AW48" i="1"/>
  <c r="AX53" i="1"/>
  <c r="AV53" i="1" s="1"/>
  <c r="AW58" i="1"/>
  <c r="AW65" i="1"/>
  <c r="AX69" i="1"/>
  <c r="AV69" i="1" s="1"/>
  <c r="AX72" i="1"/>
  <c r="AV72" i="1" s="1"/>
  <c r="AW74" i="1"/>
  <c r="H79" i="1"/>
  <c r="H75" i="1" s="1"/>
  <c r="AW79" i="1"/>
  <c r="BH81" i="1"/>
  <c r="AX86" i="1"/>
  <c r="BC86" i="1" s="1"/>
  <c r="I86" i="1"/>
  <c r="AX102" i="1"/>
  <c r="BC102" i="1" s="1"/>
  <c r="I102" i="1"/>
  <c r="L106" i="1"/>
  <c r="AT106" i="1"/>
  <c r="AW127" i="1"/>
  <c r="H127" i="1"/>
  <c r="BH127" i="1"/>
  <c r="AX131" i="1"/>
  <c r="I131" i="1"/>
  <c r="AV139" i="1"/>
  <c r="BC139" i="1"/>
  <c r="BC76" i="1"/>
  <c r="BH79" i="1"/>
  <c r="AD79" i="1" s="1"/>
  <c r="H82" i="1"/>
  <c r="BI86" i="1"/>
  <c r="AE86" i="1" s="1"/>
  <c r="BI102" i="1"/>
  <c r="AE102" i="1" s="1"/>
  <c r="AW123" i="1"/>
  <c r="H123" i="1"/>
  <c r="BH123" i="1"/>
  <c r="AD123" i="1" s="1"/>
  <c r="BI131" i="1"/>
  <c r="AE131" i="1" s="1"/>
  <c r="AX149" i="1"/>
  <c r="I149" i="1"/>
  <c r="BI149" i="1"/>
  <c r="AE149" i="1" s="1"/>
  <c r="BF160" i="1"/>
  <c r="L157" i="1"/>
  <c r="AX83" i="1"/>
  <c r="AV83" i="1" s="1"/>
  <c r="AX90" i="1"/>
  <c r="BC90" i="1" s="1"/>
  <c r="AX98" i="1"/>
  <c r="AX105" i="1"/>
  <c r="AV105" i="1" s="1"/>
  <c r="AW107" i="1"/>
  <c r="BF107" i="1"/>
  <c r="AW115" i="1"/>
  <c r="AW121" i="1"/>
  <c r="AW125" i="1"/>
  <c r="AX129" i="1"/>
  <c r="AV129" i="1" s="1"/>
  <c r="AX134" i="1"/>
  <c r="AV134" i="1" s="1"/>
  <c r="AW164" i="1"/>
  <c r="H164" i="1"/>
  <c r="BH164" i="1"/>
  <c r="AD164" i="1" s="1"/>
  <c r="AL170" i="1"/>
  <c r="AU167" i="1" s="1"/>
  <c r="J167" i="1"/>
  <c r="H181" i="1"/>
  <c r="BH181" i="1"/>
  <c r="AD181" i="1" s="1"/>
  <c r="AW181" i="1"/>
  <c r="AW188" i="1"/>
  <c r="BH188" i="1"/>
  <c r="AD188" i="1" s="1"/>
  <c r="H188" i="1"/>
  <c r="BI83" i="1"/>
  <c r="AE83" i="1" s="1"/>
  <c r="BI90" i="1"/>
  <c r="AE90" i="1" s="1"/>
  <c r="BI98" i="1"/>
  <c r="AE98" i="1" s="1"/>
  <c r="BI105" i="1"/>
  <c r="BH107" i="1"/>
  <c r="AD107" i="1" s="1"/>
  <c r="BH115" i="1"/>
  <c r="AD115" i="1" s="1"/>
  <c r="BH121" i="1"/>
  <c r="AD121" i="1" s="1"/>
  <c r="BH125" i="1"/>
  <c r="AD125" i="1" s="1"/>
  <c r="BI129" i="1"/>
  <c r="AE129" i="1" s="1"/>
  <c r="BI134" i="1"/>
  <c r="AE134" i="1" s="1"/>
  <c r="AX154" i="1"/>
  <c r="I154" i="1"/>
  <c r="I157" i="1"/>
  <c r="AW160" i="1"/>
  <c r="H160" i="1"/>
  <c r="H157" i="1" s="1"/>
  <c r="BH160" i="1"/>
  <c r="AD160" i="1" s="1"/>
  <c r="AT167" i="1"/>
  <c r="AW200" i="1"/>
  <c r="H200" i="1"/>
  <c r="H194" i="1" s="1"/>
  <c r="BH200" i="1"/>
  <c r="AD200" i="1" s="1"/>
  <c r="AW210" i="1"/>
  <c r="H210" i="1"/>
  <c r="H209" i="1" s="1"/>
  <c r="BH210" i="1"/>
  <c r="BI137" i="1"/>
  <c r="AE137" i="1" s="1"/>
  <c r="AU157" i="1"/>
  <c r="AX168" i="1"/>
  <c r="I168" i="1"/>
  <c r="AW170" i="1"/>
  <c r="BH170" i="1"/>
  <c r="AD170" i="1" s="1"/>
  <c r="H170" i="1"/>
  <c r="BI183" i="1"/>
  <c r="AE183" i="1" s="1"/>
  <c r="AX183" i="1"/>
  <c r="AV183" i="1" s="1"/>
  <c r="I183" i="1"/>
  <c r="BC195" i="1"/>
  <c r="AW217" i="1"/>
  <c r="H217" i="1"/>
  <c r="H212" i="1" s="1"/>
  <c r="BH217" i="1"/>
  <c r="AL220" i="1"/>
  <c r="AU219" i="1" s="1"/>
  <c r="AW137" i="1"/>
  <c r="AW141" i="1"/>
  <c r="AX146" i="1"/>
  <c r="BC146" i="1" s="1"/>
  <c r="AX151" i="1"/>
  <c r="AX156" i="1"/>
  <c r="AV156" i="1" s="1"/>
  <c r="AW158" i="1"/>
  <c r="AW162" i="1"/>
  <c r="AW166" i="1"/>
  <c r="AW172" i="1"/>
  <c r="BH172" i="1"/>
  <c r="AD172" i="1" s="1"/>
  <c r="I179" i="1"/>
  <c r="AX179" i="1"/>
  <c r="AV179" i="1" s="1"/>
  <c r="H183" i="1"/>
  <c r="H167" i="1" s="1"/>
  <c r="BH183" i="1"/>
  <c r="AD183" i="1" s="1"/>
  <c r="AW191" i="1"/>
  <c r="BH191" i="1"/>
  <c r="AD191" i="1" s="1"/>
  <c r="BI195" i="1"/>
  <c r="AE195" i="1" s="1"/>
  <c r="I18" i="3"/>
  <c r="F14" i="2"/>
  <c r="F22" i="2" s="1"/>
  <c r="AX141" i="1"/>
  <c r="L145" i="1"/>
  <c r="AW149" i="1"/>
  <c r="AW154" i="1"/>
  <c r="J157" i="1"/>
  <c r="AX158" i="1"/>
  <c r="AX162" i="1"/>
  <c r="AX166" i="1"/>
  <c r="AW168" i="1"/>
  <c r="AW177" i="1"/>
  <c r="BH177" i="1"/>
  <c r="AD177" i="1" s="1"/>
  <c r="BF204" i="1"/>
  <c r="I206" i="1"/>
  <c r="I203" i="1" s="1"/>
  <c r="I45" i="3"/>
  <c r="I24" i="2" s="1"/>
  <c r="AV195" i="1"/>
  <c r="AV204" i="1"/>
  <c r="BI206" i="1"/>
  <c r="AE206" i="1" s="1"/>
  <c r="AL213" i="1"/>
  <c r="AU212" i="1" s="1"/>
  <c r="BC213" i="1"/>
  <c r="AX197" i="1"/>
  <c r="BC197" i="1" s="1"/>
  <c r="AW206" i="1"/>
  <c r="AX213" i="1"/>
  <c r="AV213" i="1" s="1"/>
  <c r="AX220" i="1"/>
  <c r="BC220" i="1" s="1"/>
  <c r="H208" i="1" l="1"/>
  <c r="BC193" i="1"/>
  <c r="I167" i="1"/>
  <c r="I145" i="1"/>
  <c r="AV151" i="1"/>
  <c r="AV146" i="1"/>
  <c r="BC131" i="1"/>
  <c r="C16" i="2"/>
  <c r="BC105" i="1"/>
  <c r="AV98" i="1"/>
  <c r="BC94" i="1"/>
  <c r="AV90" i="1"/>
  <c r="C17" i="2"/>
  <c r="BC72" i="1"/>
  <c r="I67" i="1"/>
  <c r="C15" i="2"/>
  <c r="C14" i="2"/>
  <c r="J222" i="1"/>
  <c r="BC206" i="1"/>
  <c r="AV206" i="1"/>
  <c r="BC181" i="1"/>
  <c r="AV181" i="1"/>
  <c r="BC125" i="1"/>
  <c r="AV125" i="1"/>
  <c r="AV36" i="1"/>
  <c r="BC36" i="1"/>
  <c r="F29" i="3"/>
  <c r="BC191" i="1"/>
  <c r="AV191" i="1"/>
  <c r="BC166" i="1"/>
  <c r="AV166" i="1"/>
  <c r="AV197" i="1"/>
  <c r="BC156" i="1"/>
  <c r="AV200" i="1"/>
  <c r="BC200" i="1"/>
  <c r="BC121" i="1"/>
  <c r="AV121" i="1"/>
  <c r="AV123" i="1"/>
  <c r="BC123" i="1"/>
  <c r="AV31" i="1"/>
  <c r="BC31" i="1"/>
  <c r="AV144" i="1"/>
  <c r="BC144" i="1"/>
  <c r="H106" i="1"/>
  <c r="BC83" i="1"/>
  <c r="AV119" i="1"/>
  <c r="BC119" i="1"/>
  <c r="AV71" i="1"/>
  <c r="BC71" i="1"/>
  <c r="BC44" i="1"/>
  <c r="AV154" i="1"/>
  <c r="BC154" i="1"/>
  <c r="BC137" i="1"/>
  <c r="AV137" i="1"/>
  <c r="AV74" i="1"/>
  <c r="BC74" i="1"/>
  <c r="AV58" i="1"/>
  <c r="BC58" i="1"/>
  <c r="AV149" i="1"/>
  <c r="BC149" i="1"/>
  <c r="BC162" i="1"/>
  <c r="AV162" i="1"/>
  <c r="AV220" i="1"/>
  <c r="AV210" i="1"/>
  <c r="BC210" i="1"/>
  <c r="BC183" i="1"/>
  <c r="BC115" i="1"/>
  <c r="AV115" i="1"/>
  <c r="BC134" i="1"/>
  <c r="AV127" i="1"/>
  <c r="BC127" i="1"/>
  <c r="BC79" i="1"/>
  <c r="AV79" i="1"/>
  <c r="AV48" i="1"/>
  <c r="BC48" i="1"/>
  <c r="BC129" i="1"/>
  <c r="AV110" i="1"/>
  <c r="BC110" i="1"/>
  <c r="BC98" i="1"/>
  <c r="BC53" i="1"/>
  <c r="H67" i="1"/>
  <c r="BC69" i="1"/>
  <c r="BC172" i="1"/>
  <c r="AV172" i="1"/>
  <c r="AV217" i="1"/>
  <c r="BC217" i="1"/>
  <c r="AV170" i="1"/>
  <c r="BC170" i="1"/>
  <c r="BC107" i="1"/>
  <c r="AV107" i="1"/>
  <c r="BC81" i="1"/>
  <c r="AV81" i="1"/>
  <c r="BC177" i="1"/>
  <c r="AV177" i="1"/>
  <c r="AV168" i="1"/>
  <c r="BC168" i="1"/>
  <c r="BC158" i="1"/>
  <c r="AV158" i="1"/>
  <c r="BC141" i="1"/>
  <c r="AV141" i="1"/>
  <c r="AV160" i="1"/>
  <c r="BC160" i="1"/>
  <c r="AV188" i="1"/>
  <c r="BC188" i="1"/>
  <c r="AV164" i="1"/>
  <c r="BC164" i="1"/>
  <c r="AV102" i="1"/>
  <c r="AV86" i="1"/>
  <c r="BC179" i="1"/>
  <c r="I82" i="1"/>
  <c r="AV65" i="1"/>
  <c r="BC65" i="1"/>
  <c r="AV68" i="1"/>
  <c r="BC68" i="1"/>
  <c r="BC24" i="1"/>
  <c r="AV24" i="1"/>
  <c r="AV51" i="1"/>
  <c r="BC51" i="1"/>
  <c r="BC27" i="1"/>
  <c r="C29" i="2"/>
  <c r="F29" i="2" s="1"/>
  <c r="BC21" i="1"/>
  <c r="C22" i="2" l="1"/>
  <c r="I28" i="2"/>
  <c r="I29" i="2" s="1"/>
</calcChain>
</file>

<file path=xl/sharedStrings.xml><?xml version="1.0" encoding="utf-8"?>
<sst xmlns="http://schemas.openxmlformats.org/spreadsheetml/2006/main" count="1618" uniqueCount="572">
  <si>
    <t>Položkový rozpočet</t>
  </si>
  <si>
    <t>Název stavby:</t>
  </si>
  <si>
    <t>OPRAVA STŘECHY ODCHOVNY</t>
  </si>
  <si>
    <t>Doba výstavby:</t>
  </si>
  <si>
    <t xml:space="preserve"> </t>
  </si>
  <si>
    <t>Objednatel:</t>
  </si>
  <si>
    <t>ZOO a zámek Zlín - Lešná, p.o.</t>
  </si>
  <si>
    <t>Část rozpočtu:</t>
  </si>
  <si>
    <t>D.1.1  Architektonicko-stavební řešení</t>
  </si>
  <si>
    <t>Začátek výstavby:</t>
  </si>
  <si>
    <t>10.03.2026</t>
  </si>
  <si>
    <t>Projektant:</t>
  </si>
  <si>
    <t>PROST Zlín - projekční kancelář</t>
  </si>
  <si>
    <t>Lokalita:</t>
  </si>
  <si>
    <t>parc.č. 1586/2, areál ZOO Zlín - Lešná</t>
  </si>
  <si>
    <t>Konec výstavby:</t>
  </si>
  <si>
    <t>Zhotovitel:</t>
  </si>
  <si>
    <t>bude určen výběrovým řízením</t>
  </si>
  <si>
    <t>JKSO:</t>
  </si>
  <si>
    <t>81245</t>
  </si>
  <si>
    <t>Zpracováno dne:</t>
  </si>
  <si>
    <t>18.12.2025</t>
  </si>
  <si>
    <t>Zpracoval:</t>
  </si>
  <si>
    <t>Tomáš Sýkora</t>
  </si>
  <si>
    <t>Č</t>
  </si>
  <si>
    <t>Kód</t>
  </si>
  <si>
    <t>Zkrácený popis</t>
  </si>
  <si>
    <t>MJ</t>
  </si>
  <si>
    <t>Množství</t>
  </si>
  <si>
    <t>Cena/MJ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</si>
  <si>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</si>
  <si>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</si>
  <si>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</si>
  <si>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</si>
  <si>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</si>
  <si>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</si>
  <si>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</si>
  <si>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</si>
  <si>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</si>
  <si>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</si>
  <si>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</si>
  <si>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</si>
  <si>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</si>
  <si>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</si>
  <si>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</si>
  <si>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</si>
  <si>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</si>
  <si>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</si>
  <si>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</si>
  <si>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</si>
  <si>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</si>
  <si>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</si>
  <si>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</si>
  <si>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</si>
  <si>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</si>
  <si>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</si>
  <si>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21</t>
  </si>
  <si>
    <t>Úprava podloží a základové spáry</t>
  </si>
  <si>
    <t>1</t>
  </si>
  <si>
    <t>215901101RT5</t>
  </si>
  <si>
    <t>Zhutnění podloží z hornin nesoudržných do 92% PS</t>
  </si>
  <si>
    <t>m2</t>
  </si>
  <si>
    <t>RTS II / 2025</t>
  </si>
  <si>
    <t>21_</t>
  </si>
  <si>
    <t>2_</t>
  </si>
  <si>
    <t>_</t>
  </si>
  <si>
    <t>P</t>
  </si>
  <si>
    <t>vibrační deskou</t>
  </si>
  <si>
    <t>10*0,6</t>
  </si>
  <si>
    <t>kanalizace</t>
  </si>
  <si>
    <t>34</t>
  </si>
  <si>
    <t>Stěny a příčky</t>
  </si>
  <si>
    <t>2</t>
  </si>
  <si>
    <t>342230012RAA</t>
  </si>
  <si>
    <t>Příčka z cihel plných, tl. 140 mm</t>
  </si>
  <si>
    <t>34_</t>
  </si>
  <si>
    <t>3_</t>
  </si>
  <si>
    <t>cihly plné 290 x 140 x 65 mm, P 15, maltu MVC 25</t>
  </si>
  <si>
    <t>4,5*0,2*10</t>
  </si>
  <si>
    <t>- dozdění příčky k světlíku</t>
  </si>
  <si>
    <t>38</t>
  </si>
  <si>
    <t>Různé kompletní konstrukce nedělitelné do stav. dílů</t>
  </si>
  <si>
    <t>3</t>
  </si>
  <si>
    <t>389941012R00</t>
  </si>
  <si>
    <t>Kovové doplň.konstrukce pro montáž dílců, do 10 kg</t>
  </si>
  <si>
    <t>kg</t>
  </si>
  <si>
    <t>38_</t>
  </si>
  <si>
    <t>(36,0+3,6)*2*2 *2 *0,10</t>
  </si>
  <si>
    <t>osazení světlíků</t>
  </si>
  <si>
    <t>41</t>
  </si>
  <si>
    <t>Stropy a stropní konstrukce (pro pozemní stavby)</t>
  </si>
  <si>
    <t>4</t>
  </si>
  <si>
    <t>411354255R00</t>
  </si>
  <si>
    <t>Bednění stropů zabudované z ocelových trapézových plechů pozinkovaných vlna 50 mm tl. 0,8 mm</t>
  </si>
  <si>
    <t>41_</t>
  </si>
  <si>
    <t>4_</t>
  </si>
  <si>
    <t>1,5*1,0 *3</t>
  </si>
  <si>
    <t>výměna trapézového plechu - vpustě</t>
  </si>
  <si>
    <t>61</t>
  </si>
  <si>
    <t>Úprava povrchů vnitřní</t>
  </si>
  <si>
    <t>5</t>
  </si>
  <si>
    <t>612401391RT2</t>
  </si>
  <si>
    <t>Omítka malých ploch vnitřních stěn do 1 m2</t>
  </si>
  <si>
    <t>kus</t>
  </si>
  <si>
    <t>61_</t>
  </si>
  <si>
    <t>6_</t>
  </si>
  <si>
    <t>vápennou štukovou omítkou</t>
  </si>
  <si>
    <t>20</t>
  </si>
  <si>
    <t>63</t>
  </si>
  <si>
    <t>Podlahy a podlahové konstrukce</t>
  </si>
  <si>
    <t>6</t>
  </si>
  <si>
    <t>631343822R00</t>
  </si>
  <si>
    <t>Mazanina z polystyrenbetonu tl. 12 cm, 0,3 MPa</t>
  </si>
  <si>
    <t>m3</t>
  </si>
  <si>
    <t>63_</t>
  </si>
  <si>
    <t>1,65*36,0*0,1</t>
  </si>
  <si>
    <t>polystyrenbeton - max. 400 kg/m3</t>
  </si>
  <si>
    <t>7</t>
  </si>
  <si>
    <t>631361921RT5</t>
  </si>
  <si>
    <t>Výztuž mazanin svařovanou sítí</t>
  </si>
  <si>
    <t>t</t>
  </si>
  <si>
    <t>KH 20, drát d 6,0 mm, oko 150 x 150 mm</t>
  </si>
  <si>
    <t>1,65*36,0*0,0031 *1,2</t>
  </si>
  <si>
    <t>8</t>
  </si>
  <si>
    <t>631315811R00</t>
  </si>
  <si>
    <t>Mazanina betonová tl. 12 - 24 cm C 30/37</t>
  </si>
  <si>
    <t>1,2*1,2*0,15</t>
  </si>
  <si>
    <t>vnitřní podlaha</t>
  </si>
  <si>
    <t>4,0*0,7*0,18</t>
  </si>
  <si>
    <t>venkovní plocha</t>
  </si>
  <si>
    <t>9</t>
  </si>
  <si>
    <t>631361921RT9</t>
  </si>
  <si>
    <t>KY 80, drát d 8,0 mm, oko 150 x 150 mm</t>
  </si>
  <si>
    <t>1,2*1,2*0,0054 *1,2</t>
  </si>
  <si>
    <t>4,0*0,7*0,0054 *2 *1,2</t>
  </si>
  <si>
    <t>91</t>
  </si>
  <si>
    <t>Doplňující konstrukce a práce na pozemních komunikacích a zpevněných plochách</t>
  </si>
  <si>
    <t>10</t>
  </si>
  <si>
    <t>919735122R00</t>
  </si>
  <si>
    <t>Řezání stávajícího betonového krytu tl. 5 - 10 cm</t>
  </si>
  <si>
    <t>m</t>
  </si>
  <si>
    <t>91_</t>
  </si>
  <si>
    <t>9_</t>
  </si>
  <si>
    <t>1,2*4</t>
  </si>
  <si>
    <t>kanalizace - podlaha</t>
  </si>
  <si>
    <t>4,0*2</t>
  </si>
  <si>
    <t>kanalizace - venkovní plocha</t>
  </si>
  <si>
    <t>94</t>
  </si>
  <si>
    <t>Lešení a stavební výtahy</t>
  </si>
  <si>
    <t>11</t>
  </si>
  <si>
    <t>941955004R00</t>
  </si>
  <si>
    <t>Lešení lehké pomocné, výška podlahy do 3,5 m</t>
  </si>
  <si>
    <t>94_</t>
  </si>
  <si>
    <t>1,5*36,0</t>
  </si>
  <si>
    <t>chodba</t>
  </si>
  <si>
    <t>95</t>
  </si>
  <si>
    <t>Různé dokončovací konstrukce a práce na pozemních stavbách</t>
  </si>
  <si>
    <t>12</t>
  </si>
  <si>
    <t>952901411R00</t>
  </si>
  <si>
    <t>Vyčištění ostatních objektů</t>
  </si>
  <si>
    <t>95_</t>
  </si>
  <si>
    <t>10,0*37,7</t>
  </si>
  <si>
    <t>odchovna</t>
  </si>
  <si>
    <t>13</t>
  </si>
  <si>
    <t>900      R00</t>
  </si>
  <si>
    <t>HZS - hodinová zúčtovací sazba</t>
  </si>
  <si>
    <t>h</t>
  </si>
  <si>
    <t>demontáž sloupku s čidly</t>
  </si>
  <si>
    <t>provizorní zakrytí střechy + fólie</t>
  </si>
  <si>
    <t>16</t>
  </si>
  <si>
    <t>nepředvídatelné stavební práce</t>
  </si>
  <si>
    <t>96</t>
  </si>
  <si>
    <t>Bourání konstrukcí</t>
  </si>
  <si>
    <t>14</t>
  </si>
  <si>
    <t>965041341RT2</t>
  </si>
  <si>
    <t>Bourání lehčených mazanin tl. 10 cm, nad 4 m2</t>
  </si>
  <si>
    <t>96_</t>
  </si>
  <si>
    <t>ručně, tl. mazaniny 8 - 10 cm</t>
  </si>
  <si>
    <t>1,65*36,0*0,12</t>
  </si>
  <si>
    <t>perlitbeton</t>
  </si>
  <si>
    <t>15</t>
  </si>
  <si>
    <t>965200013RA0</t>
  </si>
  <si>
    <t>Bourání mazanin betonových s potěrem nebo teracem</t>
  </si>
  <si>
    <t>včetně asfaltové hydroizolace</t>
  </si>
  <si>
    <t>1,0*1,0*0,25</t>
  </si>
  <si>
    <t>3,5*0,6*0,15</t>
  </si>
  <si>
    <t>961100015RA0</t>
  </si>
  <si>
    <t>Bourání základů z betonu prostého</t>
  </si>
  <si>
    <t>0,3*0,3*0,6</t>
  </si>
  <si>
    <t>prostup kanalizace</t>
  </si>
  <si>
    <t>979</t>
  </si>
  <si>
    <t>Přesuny sutí a vybouraných hmot</t>
  </si>
  <si>
    <t>17</t>
  </si>
  <si>
    <t>979081111R00</t>
  </si>
  <si>
    <t>Odvoz suti a vybour. hmot na skládku do 1 km</t>
  </si>
  <si>
    <t>979_</t>
  </si>
  <si>
    <t>18</t>
  </si>
  <si>
    <t>979081121R00</t>
  </si>
  <si>
    <t>Příplatek k odvozu za každý další 1 km</t>
  </si>
  <si>
    <t>21,172*9</t>
  </si>
  <si>
    <t>19</t>
  </si>
  <si>
    <t>979093111R00</t>
  </si>
  <si>
    <t>Uložení suti na skládku bez zhutnění</t>
  </si>
  <si>
    <t>979990107R00</t>
  </si>
  <si>
    <t>Poplatek za uložení suti - směs betonu, cihel, dřeva, skupina odpadu 170904</t>
  </si>
  <si>
    <t>99</t>
  </si>
  <si>
    <t>Staveništní přesun hmot</t>
  </si>
  <si>
    <t>999281105R00</t>
  </si>
  <si>
    <t>Přesun hmot pro opravy a údržbu do výšky 6 m</t>
  </si>
  <si>
    <t>99_</t>
  </si>
  <si>
    <t>711</t>
  </si>
  <si>
    <t>Izolace proti vodě</t>
  </si>
  <si>
    <t>22</t>
  </si>
  <si>
    <t>711141559RY5</t>
  </si>
  <si>
    <t>Provedení izolace proti vlhkosti, na ploše vodorovné, asfaltovými pásy přitavením</t>
  </si>
  <si>
    <t>711_</t>
  </si>
  <si>
    <t>71_</t>
  </si>
  <si>
    <t>2 vrstvy - včetně dodávky modifikovaných pásů</t>
  </si>
  <si>
    <t>1,2*1,2*1,1</t>
  </si>
  <si>
    <t>hydroizolace</t>
  </si>
  <si>
    <t>23</t>
  </si>
  <si>
    <t>711199097R00</t>
  </si>
  <si>
    <t>Příplatek za plochu do 10 m2, izolace proti vlhkosti, natavenými asfaltovými pásy</t>
  </si>
  <si>
    <t>24</t>
  </si>
  <si>
    <t>998711101R00</t>
  </si>
  <si>
    <t>Přesun hmot pro izolace proti vodě, v objektech výšky do 6 m</t>
  </si>
  <si>
    <t>712</t>
  </si>
  <si>
    <t>Izolace střech (živičné krytiny)</t>
  </si>
  <si>
    <t>25</t>
  </si>
  <si>
    <t>712300833R00</t>
  </si>
  <si>
    <t>Odstranění povlakové krytiny střech do 10°</t>
  </si>
  <si>
    <t>712_</t>
  </si>
  <si>
    <t>0,35*37,7*2</t>
  </si>
  <si>
    <t>asfaltová krytina - svislé stěny</t>
  </si>
  <si>
    <t>1,65*37,7</t>
  </si>
  <si>
    <t>asfaltová krytina - 3 vrstvy</t>
  </si>
  <si>
    <t>26</t>
  </si>
  <si>
    <t>712311101RZ2</t>
  </si>
  <si>
    <t>Provedení povlakové krytiny střech do 10°, asfaltovým penetračním nátěrem</t>
  </si>
  <si>
    <t>2 vrstvy - včetně dodávky asfaltového penetračního nátěru</t>
  </si>
  <si>
    <t>((36,0+4,1)*2*2*0,5 + 11,0*0,5 +1,45*2*0,3)*1,12</t>
  </si>
  <si>
    <t>svislé stěny</t>
  </si>
  <si>
    <t>(36,0*1,65+(37,7+10,7)*2*0,7)*1,12</t>
  </si>
  <si>
    <t>střecha</t>
  </si>
  <si>
    <t>27</t>
  </si>
  <si>
    <t>712351111RT2</t>
  </si>
  <si>
    <t>Provedení parotěsné vrstvy střech do 10°, samolepicími asfaltovými pásy</t>
  </si>
  <si>
    <t>1 vrstva - včetně dodávky modifikovaného asfaltového pásu</t>
  </si>
  <si>
    <t>((36,0+4,1)*2*2*0,5 + 11,0*0,5 +1,45*2*0,3)*1,08</t>
  </si>
  <si>
    <t>(36,0*1,65+(37,7+10,7)*2*0,7)*1,08</t>
  </si>
  <si>
    <t>28</t>
  </si>
  <si>
    <t>712351111RT3</t>
  </si>
  <si>
    <t>Provedení povlakové krytiny střech do 10°, samolepicími asfaltovými pásy</t>
  </si>
  <si>
    <t>podkladní vrstva - včetně dodávky modifikovaného asfaltového pásu</t>
  </si>
  <si>
    <t>((36,0+4,1)*2*2*0,2 + 11,0*0,2)*1,08</t>
  </si>
  <si>
    <t>(36,0*1,9+(37,7+10,7)*2*0,8)*1,08</t>
  </si>
  <si>
    <t>29</t>
  </si>
  <si>
    <t>712341559RV1</t>
  </si>
  <si>
    <t>Provedení povlakové krytiny střech do 10°, asfaltovými pásy, přitavení celoplošně</t>
  </si>
  <si>
    <t>vrchní vrstva - včetně dodávky modifikovaného asfaltového pásu s posypem</t>
  </si>
  <si>
    <t>30</t>
  </si>
  <si>
    <t>712941963RZ2</t>
  </si>
  <si>
    <t>Provedení údržby povlakové krytiny střech,proniků ventilací ap.,asfaltové pásy přitavením celoplošně</t>
  </si>
  <si>
    <t>2 vrstvy - včetně dodávky asfaltových modifikovaných pásů</t>
  </si>
  <si>
    <t>vpusti</t>
  </si>
  <si>
    <t>31</t>
  </si>
  <si>
    <t>998712101R00</t>
  </si>
  <si>
    <t>Přesun hmot pro povlakové krytiny, v objektech výšky do 6 m</t>
  </si>
  <si>
    <t>713</t>
  </si>
  <si>
    <t>Izolace tepelné</t>
  </si>
  <si>
    <t>32</t>
  </si>
  <si>
    <t>713104112R00</t>
  </si>
  <si>
    <t>Odstranění tepelné izolace střech plochých, volně uložené, z desek EPS, tl. 100 - 200 mm</t>
  </si>
  <si>
    <t>713_</t>
  </si>
  <si>
    <t>včetně zajištění ochrany částic proti  šíření izolantu do okolí</t>
  </si>
  <si>
    <t>střecha  - polystyren - tl. 120 mm</t>
  </si>
  <si>
    <t>33</t>
  </si>
  <si>
    <t>713141124R00</t>
  </si>
  <si>
    <t>Montáž tepelné izolace střech, na pruhy lepidla, 1 vrstva</t>
  </si>
  <si>
    <t>1,65*(6,8+3,8)*1</t>
  </si>
  <si>
    <t>izolace - 1 vrstva</t>
  </si>
  <si>
    <t>1,65*37,0*2 + 0,5*37,7*2*2 + 0,5*10,7*2*2</t>
  </si>
  <si>
    <t>izolace - 2 vrstvy</t>
  </si>
  <si>
    <t>0,15*(36,6+4,0)*2*2</t>
  </si>
  <si>
    <t>svislé stěny - izolace</t>
  </si>
  <si>
    <t>0,2*37,7*2*2 + 0,2*10,7*2*2</t>
  </si>
  <si>
    <t>izolace XPS</t>
  </si>
  <si>
    <t>283757490</t>
  </si>
  <si>
    <t>Deska izolační EPS 150, tl. 100 mm</t>
  </si>
  <si>
    <t>M</t>
  </si>
  <si>
    <t>1,65*(6,8+3,8)*1 *1,08</t>
  </si>
  <si>
    <t>izolace střechy</t>
  </si>
  <si>
    <t>(1,65*37,0 + 0,5*37,7*2 + 0,5*10,7*2)*1,08</t>
  </si>
  <si>
    <t>0,15*(36,6+4,0)*2*2 *1,08</t>
  </si>
  <si>
    <t>izolace střechy - svislé</t>
  </si>
  <si>
    <t>35</t>
  </si>
  <si>
    <t>283754904</t>
  </si>
  <si>
    <t>Deska izolační XPS, tl. 80 mm</t>
  </si>
  <si>
    <t>(0,2*37,7*2*2 + 0,2*10,7*2*2)*1,08</t>
  </si>
  <si>
    <t>36</t>
  </si>
  <si>
    <t>283757488</t>
  </si>
  <si>
    <t>Deska izolační EPS 150, tl. 80 mm</t>
  </si>
  <si>
    <t>37</t>
  </si>
  <si>
    <t>713141714R00</t>
  </si>
  <si>
    <t>Montáž spádových klínů plochých střech, na pruhy lepidla, 1 vrstva</t>
  </si>
  <si>
    <t>1,65*37,0</t>
  </si>
  <si>
    <t>spádové klíny</t>
  </si>
  <si>
    <t>28375972</t>
  </si>
  <si>
    <t>Deska spádová EPS 150</t>
  </si>
  <si>
    <t>1,65*37,0*0,07*1,15</t>
  </si>
  <si>
    <t>39</t>
  </si>
  <si>
    <t>998713101R00</t>
  </si>
  <si>
    <t>Přesun hmot pro izolace tepelné, v objektech výšky do 6 m</t>
  </si>
  <si>
    <t>721</t>
  </si>
  <si>
    <t>Vnitřní kanalizace</t>
  </si>
  <si>
    <t>40</t>
  </si>
  <si>
    <t>721210822R00</t>
  </si>
  <si>
    <t>Demontáž střešní vpusti, DN 100</t>
  </si>
  <si>
    <t>721_</t>
  </si>
  <si>
    <t>72_</t>
  </si>
  <si>
    <t>721171808R00</t>
  </si>
  <si>
    <t>Demontáž potrubí z PVC do D 114 mm</t>
  </si>
  <si>
    <t>včetně zaslepení stávajícího potrubí</t>
  </si>
  <si>
    <t>1,0*3</t>
  </si>
  <si>
    <t>42</t>
  </si>
  <si>
    <t>764359399R00</t>
  </si>
  <si>
    <t>Montáž dílů střešní vpusti, plochá střecha</t>
  </si>
  <si>
    <t>včetně dopojení na kanalizační potrubí</t>
  </si>
  <si>
    <t>3*2</t>
  </si>
  <si>
    <t>43</t>
  </si>
  <si>
    <t>28348262</t>
  </si>
  <si>
    <t>Nástavec pro střešní vpust s asfaltovou manžetou TWN v300 BIT</t>
  </si>
  <si>
    <t>44</t>
  </si>
  <si>
    <t>283482052</t>
  </si>
  <si>
    <t>Vpust střešní svislá s asfaltovou manžetou TWE 110 BIT S</t>
  </si>
  <si>
    <t>45</t>
  </si>
  <si>
    <t>831350012RAB</t>
  </si>
  <si>
    <t>Kanalizace z trub PVC hrdlových D 160 mm</t>
  </si>
  <si>
    <t>hloubka 1,5 m</t>
  </si>
  <si>
    <t>9,0+2,5+1,0</t>
  </si>
  <si>
    <t>46</t>
  </si>
  <si>
    <t>998721101R00</t>
  </si>
  <si>
    <t>Přesun hmot pro vnitřní kanalizaci, v objektech výšky do 6 m</t>
  </si>
  <si>
    <t>728</t>
  </si>
  <si>
    <t>Vzduchotechnika</t>
  </si>
  <si>
    <t>47</t>
  </si>
  <si>
    <t>728614612R00</t>
  </si>
  <si>
    <t>Montáž ventilátoru axiálního nízkotlakového nástěnného do d 200 mm</t>
  </si>
  <si>
    <t>728_</t>
  </si>
  <si>
    <t>včetně konstrukce pro osazení, připojovacího kabelu NN a jističe</t>
  </si>
  <si>
    <t>- pod světlíkem</t>
  </si>
  <si>
    <t>48</t>
  </si>
  <si>
    <t>728-PC-01VD</t>
  </si>
  <si>
    <t>Axiální ventilátor DN 200 s motorem EC (regulovatelné otáčky), průtok max. 1000 m3/hod</t>
  </si>
  <si>
    <t>vlastní</t>
  </si>
  <si>
    <t>49</t>
  </si>
  <si>
    <t>650052336R00</t>
  </si>
  <si>
    <t>Montáž regulátoru otáček</t>
  </si>
  <si>
    <t>včetně přívodního kabelu a kabelového propojení s ventilátorem</t>
  </si>
  <si>
    <t>50</t>
  </si>
  <si>
    <t>728-PC-02VD</t>
  </si>
  <si>
    <t>Regulátor otáček pro ventilátor s EC motorem</t>
  </si>
  <si>
    <t>51</t>
  </si>
  <si>
    <t>998728101R00</t>
  </si>
  <si>
    <t>Přesun hmot pro vzduchotechniku, v objektech výšky do 6 m</t>
  </si>
  <si>
    <t>762</t>
  </si>
  <si>
    <t>Konstrukce tesařské</t>
  </si>
  <si>
    <t>52</t>
  </si>
  <si>
    <t>763792101R00</t>
  </si>
  <si>
    <t>Montáž ostatních dílců dřevostaveb, lišty, latě, průřezové plochy do 25 cm2</t>
  </si>
  <si>
    <t>762_</t>
  </si>
  <si>
    <t>76_</t>
  </si>
  <si>
    <t>(36,3+3,8)*2*3 *2</t>
  </si>
  <si>
    <t>sokl - světlík</t>
  </si>
  <si>
    <t>53</t>
  </si>
  <si>
    <t>283769934</t>
  </si>
  <si>
    <t>Profil izolační (např. Purenit), rozměr 80 x 150 x 1200 mm</t>
  </si>
  <si>
    <t>(36,3+3,8)*2*3 *2/1,2 *1,04</t>
  </si>
  <si>
    <t>54</t>
  </si>
  <si>
    <t>763611231R00</t>
  </si>
  <si>
    <t>Montáž bednění střech z desek nad tl. 18 mm, sraz, šroubováním</t>
  </si>
  <si>
    <t>(37,7+10,7*2+15,7+12,7)*2*0,2</t>
  </si>
  <si>
    <t>překližka</t>
  </si>
  <si>
    <t>55</t>
  </si>
  <si>
    <t>60623355</t>
  </si>
  <si>
    <t>Překližka vodovzdorná bříza Multiplex tl. 21 mm kvalita BB/CP</t>
  </si>
  <si>
    <t>(37,7+10,7*2+15,7+12,7)*2*0,2*1,08</t>
  </si>
  <si>
    <t>56</t>
  </si>
  <si>
    <t>998762102R00</t>
  </si>
  <si>
    <t>Přesun hmot pro tesařské konstrukce, v objektech výšky do 12 m</t>
  </si>
  <si>
    <t>764</t>
  </si>
  <si>
    <t>Konstrukce klempířské</t>
  </si>
  <si>
    <t>57</t>
  </si>
  <si>
    <t>764430810R00</t>
  </si>
  <si>
    <t>Demontáž oplechování zdí, rš do 250 mm</t>
  </si>
  <si>
    <t>764_</t>
  </si>
  <si>
    <t>(36,1+3,6)*2 *2</t>
  </si>
  <si>
    <t>demontáž oplechování světlíků</t>
  </si>
  <si>
    <t>58</t>
  </si>
  <si>
    <t>764454802R00</t>
  </si>
  <si>
    <t>Demontáž odpadních kruhových trub, průměr 120 mm</t>
  </si>
  <si>
    <t>3,0*3</t>
  </si>
  <si>
    <t>svody</t>
  </si>
  <si>
    <t>59</t>
  </si>
  <si>
    <t>764900035RAA</t>
  </si>
  <si>
    <t>Demontáž podokapních žlabů půlkruhových</t>
  </si>
  <si>
    <t>z plechu pozinkovaného</t>
  </si>
  <si>
    <t>37,7+10,7*2+15,5+12,5</t>
  </si>
  <si>
    <t>žlaby</t>
  </si>
  <si>
    <t>60</t>
  </si>
  <si>
    <t>764311822R00</t>
  </si>
  <si>
    <t>Demontáž krytiny z tabulí 2 x 1 m, plochy nad 25 m2, šikmá střecha sklon do 30°</t>
  </si>
  <si>
    <t>(22,7*2+37,7*2)*1,0</t>
  </si>
  <si>
    <t>764430220R00</t>
  </si>
  <si>
    <t>Oplechování svislé pohledové atiky z lakov. Pz plechu, rš 330 mm</t>
  </si>
  <si>
    <t>89,0</t>
  </si>
  <si>
    <t>pol. 1/K</t>
  </si>
  <si>
    <t>62</t>
  </si>
  <si>
    <t>764421240R00</t>
  </si>
  <si>
    <t>Oplechování říms z lakov. Pz plechu, rš 250 mm</t>
  </si>
  <si>
    <t>pol. 2/K</t>
  </si>
  <si>
    <t>764333220R00</t>
  </si>
  <si>
    <t>Krycí lišta z lakov. Pz plechu, rš 250 mm, plochá střecha</t>
  </si>
  <si>
    <t>11,0</t>
  </si>
  <si>
    <t>pol. 3/K</t>
  </si>
  <si>
    <t>64</t>
  </si>
  <si>
    <t>764337240R00</t>
  </si>
  <si>
    <t>Lemování podsady z lakov. Pz plechu, rš 400 mm, střecha</t>
  </si>
  <si>
    <t>162,0</t>
  </si>
  <si>
    <t>pol. 4/K</t>
  </si>
  <si>
    <t>16,0</t>
  </si>
  <si>
    <t>pol. 7/K</t>
  </si>
  <si>
    <t>65</t>
  </si>
  <si>
    <t>764352203R00</t>
  </si>
  <si>
    <t>Žlaby podokapní půlkruhové z Pz plechu, rš 330 mm</t>
  </si>
  <si>
    <t>93,0</t>
  </si>
  <si>
    <t>pol. 5/K</t>
  </si>
  <si>
    <t>66</t>
  </si>
  <si>
    <t>764454204R00</t>
  </si>
  <si>
    <t>Odpadní trouby kruhové z Pz plechu, průměr 150 mm</t>
  </si>
  <si>
    <t>7,0</t>
  </si>
  <si>
    <t>pol. 6/K</t>
  </si>
  <si>
    <t>2,0</t>
  </si>
  <si>
    <t>pol. 8/K</t>
  </si>
  <si>
    <t>67</t>
  </si>
  <si>
    <t>764359213R00</t>
  </si>
  <si>
    <t>Kotlík kónický pro trouby z Pz plechu, průměr do 150 mm</t>
  </si>
  <si>
    <t>kotlík</t>
  </si>
  <si>
    <t>68</t>
  </si>
  <si>
    <t>998764101R00</t>
  </si>
  <si>
    <t>Přesun hmot pro klempířské konstrukce, v objektech výšky do 6 m</t>
  </si>
  <si>
    <t>767</t>
  </si>
  <si>
    <t>Konstrukce zámečnické</t>
  </si>
  <si>
    <t>69</t>
  </si>
  <si>
    <t>767311810R00</t>
  </si>
  <si>
    <t>Demontáž světlíků všech typů včetně zasklení</t>
  </si>
  <si>
    <t>767_</t>
  </si>
  <si>
    <t>3,525*36,0 *2</t>
  </si>
  <si>
    <t>světlíky</t>
  </si>
  <si>
    <t>70</t>
  </si>
  <si>
    <t>767-PC-101VD</t>
  </si>
  <si>
    <t>D+M - střešní pásový obloukový segmentový světlík</t>
  </si>
  <si>
    <t>o rozměru 36,3 x 3,8 m</t>
  </si>
  <si>
    <t>pol. 1/Z vč. přesunu hmot a čidel pro otvírání</t>
  </si>
  <si>
    <t>71</t>
  </si>
  <si>
    <t>767-PC-102VD</t>
  </si>
  <si>
    <t>pol. 2/Z vč. přesunu hmot a čidel pro otvírání</t>
  </si>
  <si>
    <t>784</t>
  </si>
  <si>
    <t>Malby</t>
  </si>
  <si>
    <t>72</t>
  </si>
  <si>
    <t>784191101R00</t>
  </si>
  <si>
    <t>Penetrace podkladu univerzální - paropropustná</t>
  </si>
  <si>
    <t>784_</t>
  </si>
  <si>
    <t>78_</t>
  </si>
  <si>
    <t>2,5*20</t>
  </si>
  <si>
    <t>73</t>
  </si>
  <si>
    <t>784142112R00</t>
  </si>
  <si>
    <t>Malba vápenná, bílá, bez penetrace 2x, paropropustná</t>
  </si>
  <si>
    <t>VORN</t>
  </si>
  <si>
    <t>Vedlejší a ostatní rozpočtové náklady</t>
  </si>
  <si>
    <t>01VRN</t>
  </si>
  <si>
    <t>Průzkumy, geodetické a projektové práce</t>
  </si>
  <si>
    <t>74</t>
  </si>
  <si>
    <t>013002VRN</t>
  </si>
  <si>
    <t>Projektové práce</t>
  </si>
  <si>
    <t>Soubor</t>
  </si>
  <si>
    <t>01VRN_</t>
  </si>
  <si>
    <t>Â _</t>
  </si>
  <si>
    <t>- výrobní - dílenská dokumentace, dokumentace skutečného provedení</t>
  </si>
  <si>
    <t>03VRN</t>
  </si>
  <si>
    <t>Zařízení staveniště</t>
  </si>
  <si>
    <t>75</t>
  </si>
  <si>
    <t>030001VRN</t>
  </si>
  <si>
    <t>03VRN_</t>
  </si>
  <si>
    <t>- zřízení a provoz staveniště, vybudování přípojek</t>
  </si>
  <si>
    <t>76</t>
  </si>
  <si>
    <t>034002VRN</t>
  </si>
  <si>
    <t>Zabezpečení staveniště</t>
  </si>
  <si>
    <t>- zabezpečení - oplocení, značení</t>
  </si>
  <si>
    <t>77</t>
  </si>
  <si>
    <t>039002VRN</t>
  </si>
  <si>
    <t>Odstranění zařízení staveniště</t>
  </si>
  <si>
    <t>- zrušení staveniště, úprava povrchů, úklid</t>
  </si>
  <si>
    <t>07VRN</t>
  </si>
  <si>
    <t>Provozní vlivy</t>
  </si>
  <si>
    <t>78</t>
  </si>
  <si>
    <t>071002VRN</t>
  </si>
  <si>
    <t>Provozní náklady investora a dalších osob</t>
  </si>
  <si>
    <t>07VRN_</t>
  </si>
  <si>
    <t>- provoz investora</t>
  </si>
  <si>
    <t>Celkem:</t>
  </si>
  <si>
    <t>Poznámka:</t>
  </si>
  <si>
    <t>IČO/DIČ:</t>
  </si>
  <si>
    <t>00090026/CZ00090026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</si>
  <si>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</si>
  <si>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</si>
  <si>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</si>
  <si>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</si>
  <si>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</si>
  <si>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</si>
  <si>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</si>
  <si>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</si>
  <si>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</si>
  <si>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</si>
  <si>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</si>
  <si>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</si>
  <si>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</si>
  <si>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</si>
  <si>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</si>
  <si>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</si>
  <si>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</si>
  <si>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</si>
  <si>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</si>
  <si>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</si>
  <si>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</si>
  <si>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</si>
  <si>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</si>
  <si>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</si>
  <si>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</si>
  <si>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</si>
  <si>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</si>
  <si>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</si>
  <si>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</si>
  <si>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</si>
  <si>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</si>
  <si>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</si>
  <si>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</si>
  <si>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</si>
  <si>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</si>
  <si>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</si>
  <si>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</si>
  <si>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</si>
  <si>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</si>
  <si>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</si>
  <si>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</si>
  <si>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</si>
  <si>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</si>
  <si>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</si>
  <si>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</si>
  <si>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</si>
  <si>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</si>
  <si>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</si>
  <si>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</si>
  <si>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</si>
  <si>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</si>
  <si>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</si>
  <si>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</si>
  <si>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</si>
  <si>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</si>
  <si>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</si>
  <si>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</si>
  <si>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Krycí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</si>
</sst>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FF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8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2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2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3" fillId="2" borderId="32" xfId="0" applyNumberFormat="1" applyFont="1" applyFill="1" applyBorder="1" applyAlignment="1" applyProtection="1">
      <alignment horizontal="left" vertical="center"/>
    </xf>
    <xf numFmtId="0" fontId="2" fillId="2" borderId="33" xfId="0" applyNumberFormat="1" applyFont="1" applyFill="1" applyBorder="1" applyAlignment="1" applyProtection="1">
      <alignment horizontal="left" vertical="center"/>
    </xf>
    <xf numFmtId="0" fontId="3" fillId="2" borderId="33" xfId="0" applyNumberFormat="1" applyFont="1" applyFill="1" applyBorder="1" applyAlignment="1" applyProtection="1">
      <alignment horizontal="left" vertical="center"/>
    </xf>
    <xf numFmtId="4" fontId="2" fillId="2" borderId="33" xfId="0" applyNumberFormat="1" applyFont="1" applyFill="1" applyBorder="1" applyAlignment="1" applyProtection="1">
      <alignment horizontal="right" vertical="center"/>
    </xf>
    <xf numFmtId="0" fontId="2" fillId="2" borderId="33" xfId="0" applyNumberFormat="1" applyFont="1" applyFill="1" applyBorder="1" applyAlignment="1" applyProtection="1">
      <alignment horizontal="right" vertical="center"/>
    </xf>
    <xf numFmtId="0" fontId="2" fillId="2" borderId="34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0" fillId="0" borderId="6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0" fillId="0" borderId="35" xfId="0" applyNumberFormat="1" applyFont="1" applyFill="1" applyBorder="1" applyAlignment="1" applyProtection="1"/>
    <xf numFmtId="0" fontId="0" fillId="0" borderId="36" xfId="0" applyNumberFormat="1" applyFont="1" applyFill="1" applyBorder="1" applyAlignment="1" applyProtection="1"/>
    <xf numFmtId="0" fontId="4" fillId="0" borderId="36" xfId="0" applyNumberFormat="1" applyFont="1" applyFill="1" applyBorder="1" applyAlignment="1" applyProtection="1">
      <alignment horizontal="left" vertical="center"/>
    </xf>
    <xf numFmtId="4" fontId="4" fillId="0" borderId="36" xfId="0" applyNumberFormat="1" applyFont="1" applyFill="1" applyBorder="1" applyAlignment="1" applyProtection="1">
      <alignment horizontal="right" vertical="center"/>
    </xf>
    <xf numFmtId="0" fontId="0" fillId="0" borderId="37" xfId="0" applyNumberFormat="1" applyFont="1" applyFill="1" applyBorder="1" applyAlignment="1" applyProtection="1"/>
    <xf numFmtId="4" fontId="2" fillId="0" borderId="3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9" fillId="0" borderId="44" xfId="0" applyNumberFormat="1" applyFont="1" applyFill="1" applyBorder="1" applyAlignment="1" applyProtection="1">
      <alignment horizontal="left" vertical="center"/>
    </xf>
    <xf numFmtId="0" fontId="10" fillId="0" borderId="45" xfId="0" applyNumberFormat="1" applyFont="1" applyFill="1" applyBorder="1" applyAlignment="1" applyProtection="1">
      <alignment horizontal="left" vertical="center"/>
    </xf>
    <xf numFmtId="4" fontId="10" fillId="0" borderId="45" xfId="0" applyNumberFormat="1" applyFont="1" applyFill="1" applyBorder="1" applyAlignment="1" applyProtection="1">
      <alignment horizontal="right" vertical="center"/>
    </xf>
    <xf numFmtId="0" fontId="10" fillId="0" borderId="45" xfId="0" applyNumberFormat="1" applyFont="1" applyFill="1" applyBorder="1" applyAlignment="1" applyProtection="1">
      <alignment horizontal="right" vertical="center"/>
    </xf>
    <xf numFmtId="0" fontId="9" fillId="0" borderId="48" xfId="0" applyNumberFormat="1" applyFont="1" applyFill="1" applyBorder="1" applyAlignment="1" applyProtection="1">
      <alignment horizontal="left" vertical="center"/>
    </xf>
    <xf numFmtId="4" fontId="10" fillId="0" borderId="52" xfId="0" applyNumberFormat="1" applyFont="1" applyFill="1" applyBorder="1" applyAlignment="1" applyProtection="1">
      <alignment horizontal="right" vertical="center"/>
    </xf>
    <xf numFmtId="0" fontId="10" fillId="0" borderId="52" xfId="0" applyNumberFormat="1" applyFont="1" applyFill="1" applyBorder="1" applyAlignment="1" applyProtection="1">
      <alignment horizontal="right" vertical="center"/>
    </xf>
    <xf numFmtId="4" fontId="10" fillId="0" borderId="43" xfId="0" applyNumberFormat="1" applyFont="1" applyFill="1" applyBorder="1" applyAlignment="1" applyProtection="1">
      <alignment horizontal="right" vertical="center"/>
    </xf>
    <xf numFmtId="4" fontId="10" fillId="0" borderId="27" xfId="0" applyNumberFormat="1" applyFont="1" applyFill="1" applyBorder="1" applyAlignment="1" applyProtection="1">
      <alignment horizontal="right" vertical="center"/>
    </xf>
    <xf numFmtId="0" fontId="5" fillId="0" borderId="33" xfId="0" applyNumberFormat="1" applyFont="1" applyFill="1" applyBorder="1" applyAlignment="1" applyProtection="1">
      <alignment horizontal="left" vertical="center"/>
    </xf>
    <xf numFmtId="0" fontId="2" fillId="0" borderId="68" xfId="0" applyNumberFormat="1" applyFont="1" applyFill="1" applyBorder="1" applyAlignment="1" applyProtection="1">
      <alignment horizontal="right" vertical="center"/>
    </xf>
    <xf numFmtId="4" fontId="3" fillId="0" borderId="45" xfId="0" applyNumberFormat="1" applyFont="1" applyFill="1" applyBorder="1" applyAlignment="1" applyProtection="1">
      <alignment horizontal="right" vertical="center"/>
    </xf>
    <xf numFmtId="0" fontId="3" fillId="0" borderId="45" xfId="0" applyNumberFormat="1" applyFont="1" applyFill="1" applyBorder="1" applyAlignment="1" applyProtection="1">
      <alignment horizontal="left" vertical="center"/>
    </xf>
    <xf numFmtId="4" fontId="3" fillId="0" borderId="72" xfId="0" applyNumberFormat="1" applyFont="1" applyFill="1" applyBorder="1" applyAlignment="1" applyProtection="1">
      <alignment horizontal="righ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right" vertical="center"/>
    </xf>
    <xf numFmtId="4" fontId="2" fillId="0" borderId="76" xfId="0" applyNumberFormat="1" applyFont="1" applyFill="1" applyBorder="1" applyAlignment="1" applyProtection="1">
      <alignment horizontal="right" vertical="center"/>
    </xf>
    <xf numFmtId="4" fontId="9" fillId="3" borderId="42" xfId="0" applyNumberFormat="1" applyFont="1" applyFill="1" applyBorder="1" applyAlignment="1" applyProtection="1">
      <alignment horizontal="right" vertical="center"/>
    </xf>
    <xf numFmtId="4" fontId="9" fillId="3" borderId="47" xfId="0" applyNumberFormat="1" applyFont="1" applyFill="1" applyBorder="1" applyAlignment="1" applyProtection="1">
      <alignment horizontal="right" vertical="center"/>
    </xf>
    <xf numFmtId="4" fontId="3" fillId="4" borderId="0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1" fontId="3" fillId="0" borderId="6" xfId="0" applyNumberFormat="1" applyFont="1" applyFill="1" applyBorder="1" applyAlignment="1" applyProtection="1">
      <alignment horizontal="left" vertical="center"/>
    </xf>
    <xf numFmtId="0" fontId="3" fillId="0" borderId="36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37" xfId="0" applyNumberFormat="1" applyFont="1" applyFill="1" applyBorder="1" applyAlignment="1" applyProtection="1">
      <alignment horizontal="left" vertical="center"/>
    </xf>
    <xf numFmtId="0" fontId="6" fillId="0" borderId="39" xfId="0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3" fillId="0" borderId="35" xfId="0" applyNumberFormat="1" applyFont="1" applyFill="1" applyBorder="1" applyAlignment="1" applyProtection="1">
      <alignment horizontal="left" vertical="center"/>
    </xf>
    <xf numFmtId="0" fontId="9" fillId="0" borderId="49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9" fillId="0" borderId="54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10" fillId="0" borderId="46" xfId="0" applyNumberFormat="1" applyFont="1" applyFill="1" applyBorder="1" applyAlignment="1" applyProtection="1">
      <alignment horizontal="left" vertical="center"/>
    </xf>
    <xf numFmtId="0" fontId="10" fillId="0" borderId="47" xfId="0" applyNumberFormat="1" applyFont="1" applyFill="1" applyBorder="1" applyAlignment="1" applyProtection="1">
      <alignment horizontal="left" vertical="center"/>
    </xf>
    <xf numFmtId="0" fontId="10" fillId="0" borderId="53" xfId="0" applyNumberFormat="1" applyFont="1" applyFill="1" applyBorder="1" applyAlignment="1" applyProtection="1">
      <alignment horizontal="left" vertical="center"/>
    </xf>
    <xf numFmtId="0" fontId="10" fillId="0" borderId="51" xfId="0" applyNumberFormat="1" applyFont="1" applyFill="1" applyBorder="1" applyAlignment="1" applyProtection="1">
      <alignment horizontal="left" vertical="center"/>
    </xf>
    <xf numFmtId="0" fontId="9" fillId="0" borderId="41" xfId="0" applyNumberFormat="1" applyFont="1" applyFill="1" applyBorder="1" applyAlignment="1" applyProtection="1">
      <alignment horizontal="left" vertical="center"/>
    </xf>
    <xf numFmtId="0" fontId="9" fillId="0" borderId="46" xfId="0" applyNumberFormat="1" applyFont="1" applyFill="1" applyBorder="1" applyAlignment="1" applyProtection="1">
      <alignment horizontal="left" vertical="center"/>
    </xf>
    <xf numFmtId="0" fontId="9" fillId="3" borderId="54" xfId="0" applyNumberFormat="1" applyFont="1" applyFill="1" applyBorder="1" applyAlignment="1" applyProtection="1">
      <alignment horizontal="left" vertical="center"/>
    </xf>
    <xf numFmtId="0" fontId="9" fillId="3" borderId="55" xfId="0" applyNumberFormat="1" applyFont="1" applyFill="1" applyBorder="1" applyAlignment="1" applyProtection="1">
      <alignment horizontal="left" vertical="center"/>
    </xf>
    <xf numFmtId="0" fontId="9" fillId="3" borderId="49" xfId="0" applyNumberFormat="1" applyFont="1" applyFill="1" applyBorder="1" applyAlignment="1" applyProtection="1">
      <alignment horizontal="left" vertical="center"/>
    </xf>
    <xf numFmtId="0" fontId="9" fillId="3" borderId="56" xfId="0" applyNumberFormat="1" applyFont="1" applyFill="1" applyBorder="1" applyAlignment="1" applyProtection="1">
      <alignment horizontal="left" vertical="center"/>
    </xf>
    <xf numFmtId="0" fontId="9" fillId="3" borderId="41" xfId="0" applyNumberFormat="1" applyFont="1" applyFill="1" applyBorder="1" applyAlignment="1" applyProtection="1">
      <alignment horizontal="left" vertical="center"/>
    </xf>
    <xf numFmtId="0" fontId="9" fillId="3" borderId="46" xfId="0" applyNumberFormat="1" applyFont="1" applyFill="1" applyBorder="1" applyAlignment="1" applyProtection="1">
      <alignment horizontal="left" vertical="center"/>
    </xf>
    <xf numFmtId="0" fontId="10" fillId="0" borderId="60" xfId="0" applyNumberFormat="1" applyFont="1" applyFill="1" applyBorder="1" applyAlignment="1" applyProtection="1">
      <alignment horizontal="left" vertical="center"/>
    </xf>
    <xf numFmtId="0" fontId="10" fillId="0" borderId="58" xfId="0" applyNumberFormat="1" applyFont="1" applyFill="1" applyBorder="1" applyAlignment="1" applyProtection="1">
      <alignment horizontal="left" vertical="center"/>
    </xf>
    <xf numFmtId="0" fontId="10" fillId="0" borderId="59" xfId="0" applyNumberFormat="1" applyFont="1" applyFill="1" applyBorder="1" applyAlignment="1" applyProtection="1">
      <alignment horizontal="left" vertical="center"/>
    </xf>
    <xf numFmtId="0" fontId="10" fillId="0" borderId="6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/>
    </xf>
    <xf numFmtId="0" fontId="10" fillId="0" borderId="65" xfId="0" applyNumberFormat="1" applyFont="1" applyFill="1" applyBorder="1" applyAlignment="1" applyProtection="1">
      <alignment horizontal="lef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0" fontId="10" fillId="0" borderId="57" xfId="0" applyNumberFormat="1" applyFont="1" applyFill="1" applyBorder="1" applyAlignment="1" applyProtection="1">
      <alignment horizontal="left" vertical="center"/>
    </xf>
    <xf numFmtId="0" fontId="10" fillId="0" borderId="61" xfId="0" applyNumberFormat="1" applyFont="1" applyFill="1" applyBorder="1" applyAlignment="1" applyProtection="1">
      <alignment horizontal="left" vertical="center"/>
    </xf>
    <xf numFmtId="0" fontId="10" fillId="0" borderId="64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4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2" borderId="33" xfId="0" applyNumberFormat="1" applyFont="1" applyFill="1" applyBorder="1" applyAlignment="1" applyProtection="1">
      <alignment horizontal="left" vertical="center" wrapText="1"/>
    </xf>
    <xf numFmtId="0" fontId="2" fillId="2" borderId="33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6" xfId="0" applyNumberFormat="1" applyFont="1" applyFill="1" applyBorder="1" applyAlignment="1" applyProtection="1">
      <alignment horizontal="left" vertical="center"/>
    </xf>
    <xf numFmtId="0" fontId="3" fillId="0" borderId="47" xfId="0" applyNumberFormat="1" applyFont="1" applyFill="1" applyBorder="1" applyAlignment="1" applyProtection="1">
      <alignment horizontal="left" vertical="center"/>
    </xf>
    <xf numFmtId="0" fontId="3" fillId="0" borderId="69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2" fillId="0" borderId="73" xfId="0" applyNumberFormat="1" applyFont="1" applyFill="1" applyBorder="1" applyAlignment="1" applyProtection="1">
      <alignment horizontal="lef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9" fillId="0" borderId="73" xfId="0" applyNumberFormat="1" applyFont="1" applyFill="1" applyBorder="1" applyAlignment="1" applyProtection="1">
      <alignment horizontal="left" vertical="center"/>
    </xf>
    <xf numFmtId="0" fontId="9" fillId="0" borderId="74" xfId="0" applyNumberFormat="1" applyFont="1" applyFill="1" applyBorder="1" applyAlignment="1" applyProtection="1">
      <alignment horizontal="left" vertical="center"/>
    </xf>
    <xf numFmtId="0" fontId="9" fillId="0" borderId="75" xfId="0" applyNumberFormat="1" applyFont="1" applyFill="1" applyBorder="1" applyAlignment="1" applyProtection="1">
      <alignment horizontal="left" vertical="center"/>
    </xf>
    <xf numFmtId="4" fontId="9" fillId="0" borderId="77" xfId="0" applyNumberFormat="1" applyFont="1" applyFill="1" applyBorder="1" applyAlignment="1" applyProtection="1">
      <alignment horizontal="right" vertical="center"/>
    </xf>
    <xf numFmtId="0" fontId="9" fillId="0" borderId="74" xfId="0" applyNumberFormat="1" applyFont="1" applyFill="1" applyBorder="1" applyAlignment="1" applyProtection="1">
      <alignment horizontal="right" vertical="center"/>
    </xf>
    <xf numFmtId="0" fontId="9" fillId="0" borderId="75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F42" sqref="F42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68" t="s">
        <v>571</v>
      </c>
      <c r="B1" s="69"/>
      <c r="C1" s="69"/>
      <c r="D1" s="69"/>
      <c r="E1" s="69"/>
      <c r="F1" s="69"/>
      <c r="G1" s="69"/>
      <c r="H1" s="69"/>
      <c r="I1" s="69"/>
    </row>
    <row r="2" spans="1:9" x14ac:dyDescent="0.25">
      <c r="A2" s="70" t="s">
        <v>1</v>
      </c>
      <c r="B2" s="71"/>
      <c r="C2" s="75" t="str">
        <f>'Stavební rozpočet'!C2</f>
        <v>OPRAVA STŘECHY ODCHOVNY</v>
      </c>
      <c r="D2" s="76"/>
      <c r="E2" s="85" t="s">
        <v>5</v>
      </c>
      <c r="F2" s="75" t="str">
        <f>'Stavební rozpočet'!I2</f>
        <v>ZOO a zámek Zlín - Lešná, p.o.</v>
      </c>
      <c r="G2" s="76"/>
      <c r="H2" s="85" t="s">
        <v>512</v>
      </c>
      <c r="I2" s="81" t="s">
        <v>513</v>
      </c>
    </row>
    <row r="3" spans="1:9" ht="15" customHeight="1" x14ac:dyDescent="0.25">
      <c r="A3" s="72"/>
      <c r="B3" s="73"/>
      <c r="C3" s="77"/>
      <c r="D3" s="77"/>
      <c r="E3" s="73"/>
      <c r="F3" s="77"/>
      <c r="G3" s="77"/>
      <c r="H3" s="73"/>
      <c r="I3" s="82"/>
    </row>
    <row r="4" spans="1:9" x14ac:dyDescent="0.25">
      <c r="A4" s="74" t="s">
        <v>7</v>
      </c>
      <c r="B4" s="73"/>
      <c r="C4" s="78" t="str">
        <f>'Stavební rozpočet'!C4</f>
        <v>D.1.1  Architektonicko-stavební řešení</v>
      </c>
      <c r="D4" s="79"/>
      <c r="E4" s="80" t="s">
        <v>11</v>
      </c>
      <c r="F4" s="78" t="str">
        <f>'Stavební rozpočet'!I4</f>
        <v>PROST Zlín - projekční kancelář</v>
      </c>
      <c r="G4" s="79"/>
      <c r="H4" s="80" t="s">
        <v>512</v>
      </c>
      <c r="I4" s="82" t="s">
        <v>55</v>
      </c>
    </row>
    <row r="5" spans="1:9" ht="15" customHeight="1" x14ac:dyDescent="0.25">
      <c r="A5" s="72"/>
      <c r="B5" s="73"/>
      <c r="C5" s="79"/>
      <c r="D5" s="79"/>
      <c r="E5" s="73"/>
      <c r="F5" s="79"/>
      <c r="G5" s="79"/>
      <c r="H5" s="73"/>
      <c r="I5" s="82"/>
    </row>
    <row r="6" spans="1:9" x14ac:dyDescent="0.25">
      <c r="A6" s="74" t="s">
        <v>13</v>
      </c>
      <c r="B6" s="73"/>
      <c r="C6" s="80" t="str">
        <f>'Stavební rozpočet'!C6</f>
        <v>parc.č. 1586/2, areál ZOO Zlín - Lešná</v>
      </c>
      <c r="D6" s="73"/>
      <c r="E6" s="80" t="s">
        <v>16</v>
      </c>
      <c r="F6" s="80" t="str">
        <f>'Stavební rozpočet'!I6</f>
        <v>bude určen výběrovým řízením</v>
      </c>
      <c r="G6" s="73"/>
      <c r="H6" s="80" t="s">
        <v>512</v>
      </c>
      <c r="I6" s="82" t="s">
        <v>55</v>
      </c>
    </row>
    <row r="7" spans="1:9" ht="15" customHeight="1" x14ac:dyDescent="0.25">
      <c r="A7" s="72"/>
      <c r="B7" s="73"/>
      <c r="C7" s="73"/>
      <c r="D7" s="73"/>
      <c r="E7" s="73"/>
      <c r="F7" s="73"/>
      <c r="G7" s="73"/>
      <c r="H7" s="73"/>
      <c r="I7" s="82"/>
    </row>
    <row r="8" spans="1:9" x14ac:dyDescent="0.25">
      <c r="A8" s="74" t="s">
        <v>9</v>
      </c>
      <c r="B8" s="73"/>
      <c r="C8" s="80" t="str">
        <f>'Stavební rozpočet'!G4</f>
        <v>10.03.2026</v>
      </c>
      <c r="D8" s="73"/>
      <c r="E8" s="80" t="s">
        <v>15</v>
      </c>
      <c r="F8" s="80" t="str">
        <f>'Stavební rozpočet'!G6</f>
        <v xml:space="preserve"> </v>
      </c>
      <c r="G8" s="73"/>
      <c r="H8" s="73" t="s">
        <v>514</v>
      </c>
      <c r="I8" s="83">
        <v>78</v>
      </c>
    </row>
    <row r="9" spans="1:9" x14ac:dyDescent="0.25">
      <c r="A9" s="72"/>
      <c r="B9" s="73"/>
      <c r="C9" s="73"/>
      <c r="D9" s="73"/>
      <c r="E9" s="73"/>
      <c r="F9" s="73"/>
      <c r="G9" s="73"/>
      <c r="H9" s="73"/>
      <c r="I9" s="82"/>
    </row>
    <row r="10" spans="1:9" x14ac:dyDescent="0.25">
      <c r="A10" s="74" t="s">
        <v>18</v>
      </c>
      <c r="B10" s="73"/>
      <c r="C10" s="80" t="str">
        <f>'Stavební rozpočet'!C8</f>
        <v>81245</v>
      </c>
      <c r="D10" s="73"/>
      <c r="E10" s="80" t="s">
        <v>22</v>
      </c>
      <c r="F10" s="80" t="str">
        <f>'Stavební rozpočet'!I8</f>
        <v>Tomáš Sýkora</v>
      </c>
      <c r="G10" s="73"/>
      <c r="H10" s="73" t="s">
        <v>515</v>
      </c>
      <c r="I10" s="86" t="str">
        <f>'Stavební rozpočet'!G8</f>
        <v>18.12.2025</v>
      </c>
    </row>
    <row r="11" spans="1:9" x14ac:dyDescent="0.25">
      <c r="A11" s="91"/>
      <c r="B11" s="84"/>
      <c r="C11" s="84"/>
      <c r="D11" s="84"/>
      <c r="E11" s="84"/>
      <c r="F11" s="84"/>
      <c r="G11" s="84"/>
      <c r="H11" s="84"/>
      <c r="I11" s="87"/>
    </row>
    <row r="12" spans="1:9" ht="23.25" x14ac:dyDescent="0.25">
      <c r="A12" s="88" t="s">
        <v>516</v>
      </c>
      <c r="B12" s="88"/>
      <c r="C12" s="88"/>
      <c r="D12" s="88"/>
      <c r="E12" s="88"/>
      <c r="F12" s="88"/>
      <c r="G12" s="88"/>
      <c r="H12" s="88"/>
      <c r="I12" s="88"/>
    </row>
    <row r="13" spans="1:9" ht="26.25" customHeight="1" x14ac:dyDescent="0.25">
      <c r="A13" s="45" t="s">
        <v>517</v>
      </c>
      <c r="B13" s="89" t="s">
        <v>518</v>
      </c>
      <c r="C13" s="90"/>
      <c r="D13" s="46" t="s">
        <v>519</v>
      </c>
      <c r="E13" s="89" t="s">
        <v>520</v>
      </c>
      <c r="F13" s="90"/>
      <c r="G13" s="46" t="s">
        <v>521</v>
      </c>
      <c r="H13" s="89" t="s">
        <v>522</v>
      </c>
      <c r="I13" s="90"/>
    </row>
    <row r="14" spans="1:9" ht="15.75" x14ac:dyDescent="0.25">
      <c r="A14" s="47" t="s">
        <v>523</v>
      </c>
      <c r="B14" s="48" t="s">
        <v>524</v>
      </c>
      <c r="C14" s="49">
        <f>SUM('Stavební rozpočet'!AB12:AB442)</f>
        <v>0</v>
      </c>
      <c r="D14" s="98" t="s">
        <v>525</v>
      </c>
      <c r="E14" s="99"/>
      <c r="F14" s="49">
        <f>VORN!I15</f>
        <v>0</v>
      </c>
      <c r="G14" s="98" t="s">
        <v>490</v>
      </c>
      <c r="H14" s="99"/>
      <c r="I14" s="50">
        <f>VORN!I21</f>
        <v>0</v>
      </c>
    </row>
    <row r="15" spans="1:9" ht="15.75" x14ac:dyDescent="0.25">
      <c r="A15" s="51" t="s">
        <v>55</v>
      </c>
      <c r="B15" s="48" t="s">
        <v>39</v>
      </c>
      <c r="C15" s="49">
        <f>SUM('Stavební rozpočet'!AC12:AC442)</f>
        <v>0</v>
      </c>
      <c r="D15" s="98" t="s">
        <v>526</v>
      </c>
      <c r="E15" s="99"/>
      <c r="F15" s="49">
        <f>VORN!I16</f>
        <v>0</v>
      </c>
      <c r="G15" s="98" t="s">
        <v>527</v>
      </c>
      <c r="H15" s="99"/>
      <c r="I15" s="50">
        <f>VORN!I22</f>
        <v>0</v>
      </c>
    </row>
    <row r="16" spans="1:9" ht="15.75" x14ac:dyDescent="0.25">
      <c r="A16" s="47" t="s">
        <v>528</v>
      </c>
      <c r="B16" s="48" t="s">
        <v>524</v>
      </c>
      <c r="C16" s="49">
        <f>SUM('Stavební rozpočet'!AD12:AD442)</f>
        <v>0</v>
      </c>
      <c r="D16" s="98" t="s">
        <v>529</v>
      </c>
      <c r="E16" s="99"/>
      <c r="F16" s="49">
        <f>VORN!I17</f>
        <v>0</v>
      </c>
      <c r="G16" s="98" t="s">
        <v>530</v>
      </c>
      <c r="H16" s="99"/>
      <c r="I16" s="50">
        <f>VORN!I23</f>
        <v>0</v>
      </c>
    </row>
    <row r="17" spans="1:9" ht="15.75" x14ac:dyDescent="0.25">
      <c r="A17" s="51" t="s">
        <v>55</v>
      </c>
      <c r="B17" s="48" t="s">
        <v>39</v>
      </c>
      <c r="C17" s="49">
        <f>SUM('Stavební rozpočet'!AE12:AE442)</f>
        <v>0</v>
      </c>
      <c r="D17" s="98" t="s">
        <v>55</v>
      </c>
      <c r="E17" s="99"/>
      <c r="F17" s="50" t="s">
        <v>55</v>
      </c>
      <c r="G17" s="98" t="s">
        <v>504</v>
      </c>
      <c r="H17" s="99"/>
      <c r="I17" s="50">
        <f>VORN!I24</f>
        <v>0</v>
      </c>
    </row>
    <row r="18" spans="1:9" ht="15.75" x14ac:dyDescent="0.25">
      <c r="A18" s="47" t="s">
        <v>531</v>
      </c>
      <c r="B18" s="48" t="s">
        <v>524</v>
      </c>
      <c r="C18" s="49">
        <f>SUM('Stavební rozpočet'!AF12:AF442)</f>
        <v>0</v>
      </c>
      <c r="D18" s="98" t="s">
        <v>55</v>
      </c>
      <c r="E18" s="99"/>
      <c r="F18" s="50" t="s">
        <v>55</v>
      </c>
      <c r="G18" s="98" t="s">
        <v>532</v>
      </c>
      <c r="H18" s="99"/>
      <c r="I18" s="50">
        <f>VORN!I25</f>
        <v>0</v>
      </c>
    </row>
    <row r="19" spans="1:9" ht="15.75" x14ac:dyDescent="0.25">
      <c r="A19" s="51" t="s">
        <v>55</v>
      </c>
      <c r="B19" s="48" t="s">
        <v>39</v>
      </c>
      <c r="C19" s="49">
        <f>SUM('Stavební rozpočet'!AG12:AG442)</f>
        <v>0</v>
      </c>
      <c r="D19" s="98" t="s">
        <v>55</v>
      </c>
      <c r="E19" s="99"/>
      <c r="F19" s="50" t="s">
        <v>55</v>
      </c>
      <c r="G19" s="98" t="s">
        <v>533</v>
      </c>
      <c r="H19" s="99"/>
      <c r="I19" s="50">
        <f>VORN!I26</f>
        <v>0</v>
      </c>
    </row>
    <row r="20" spans="1:9" ht="15.75" x14ac:dyDescent="0.25">
      <c r="A20" s="92" t="s">
        <v>534</v>
      </c>
      <c r="B20" s="93"/>
      <c r="C20" s="49">
        <f>SUM('Stavební rozpočet'!AH12:AH442)</f>
        <v>0</v>
      </c>
      <c r="D20" s="98" t="s">
        <v>55</v>
      </c>
      <c r="E20" s="99"/>
      <c r="F20" s="50" t="s">
        <v>55</v>
      </c>
      <c r="G20" s="98" t="s">
        <v>55</v>
      </c>
      <c r="H20" s="99"/>
      <c r="I20" s="50" t="s">
        <v>55</v>
      </c>
    </row>
    <row r="21" spans="1:9" ht="15.75" x14ac:dyDescent="0.25">
      <c r="A21" s="94" t="s">
        <v>535</v>
      </c>
      <c r="B21" s="95"/>
      <c r="C21" s="52">
        <f>SUM('Stavební rozpočet'!Z12:Z442)</f>
        <v>0</v>
      </c>
      <c r="D21" s="100" t="s">
        <v>55</v>
      </c>
      <c r="E21" s="101"/>
      <c r="F21" s="53" t="s">
        <v>55</v>
      </c>
      <c r="G21" s="100" t="s">
        <v>55</v>
      </c>
      <c r="H21" s="101"/>
      <c r="I21" s="53" t="s">
        <v>55</v>
      </c>
    </row>
    <row r="22" spans="1:9" ht="16.5" customHeight="1" x14ac:dyDescent="0.25">
      <c r="A22" s="96" t="s">
        <v>536</v>
      </c>
      <c r="B22" s="97"/>
      <c r="C22" s="54">
        <f>ROUND(SUM(C14:C21),2)</f>
        <v>0</v>
      </c>
      <c r="D22" s="102" t="s">
        <v>537</v>
      </c>
      <c r="E22" s="97"/>
      <c r="F22" s="54">
        <f>SUM(F14:F21)</f>
        <v>0</v>
      </c>
      <c r="G22" s="102" t="s">
        <v>538</v>
      </c>
      <c r="H22" s="97"/>
      <c r="I22" s="54">
        <f>SUM(I14:I21)</f>
        <v>0</v>
      </c>
    </row>
    <row r="23" spans="1:9" ht="15.75" x14ac:dyDescent="0.25">
      <c r="D23" s="92" t="s">
        <v>539</v>
      </c>
      <c r="E23" s="93"/>
      <c r="F23" s="55">
        <v>0</v>
      </c>
      <c r="G23" s="103" t="s">
        <v>540</v>
      </c>
      <c r="H23" s="93"/>
      <c r="I23" s="49">
        <v>0</v>
      </c>
    </row>
    <row r="24" spans="1:9" ht="15.75" x14ac:dyDescent="0.25">
      <c r="G24" s="92" t="s">
        <v>541</v>
      </c>
      <c r="H24" s="93"/>
      <c r="I24" s="49">
        <f>vorn_sum</f>
        <v>0</v>
      </c>
    </row>
    <row r="25" spans="1:9" ht="15.75" x14ac:dyDescent="0.25">
      <c r="G25" s="92" t="s">
        <v>542</v>
      </c>
      <c r="H25" s="93"/>
      <c r="I25" s="49">
        <v>0</v>
      </c>
    </row>
    <row r="27" spans="1:9" ht="15.75" x14ac:dyDescent="0.25">
      <c r="A27" s="104" t="s">
        <v>543</v>
      </c>
      <c r="B27" s="105"/>
      <c r="C27" s="65">
        <f>ROUND(SUM('Stavební rozpočet'!AJ12:AJ442),2)</f>
        <v>0</v>
      </c>
    </row>
    <row r="28" spans="1:9" ht="15.75" x14ac:dyDescent="0.25">
      <c r="A28" s="106" t="s">
        <v>544</v>
      </c>
      <c r="B28" s="107"/>
      <c r="C28" s="66">
        <f>ROUND(SUM('Stavební rozpočet'!AK12:AK442),2)</f>
        <v>0</v>
      </c>
      <c r="D28" s="108" t="s">
        <v>545</v>
      </c>
      <c r="E28" s="105"/>
      <c r="F28" s="65">
        <f>ROUND(C28*(12/100),2)</f>
        <v>0</v>
      </c>
      <c r="G28" s="108" t="s">
        <v>546</v>
      </c>
      <c r="H28" s="105"/>
      <c r="I28" s="65">
        <f>ROUND(SUM(C27:C29),2)</f>
        <v>0</v>
      </c>
    </row>
    <row r="29" spans="1:9" ht="15.75" x14ac:dyDescent="0.25">
      <c r="A29" s="106" t="s">
        <v>547</v>
      </c>
      <c r="B29" s="107"/>
      <c r="C29" s="66">
        <f>ROUND(SUM('Stavební rozpočet'!AL12:AL442),2)</f>
        <v>0</v>
      </c>
      <c r="D29" s="109" t="s">
        <v>548</v>
      </c>
      <c r="E29" s="107"/>
      <c r="F29" s="66">
        <f>ROUND(C29*(21/100),2)</f>
        <v>0</v>
      </c>
      <c r="G29" s="109" t="s">
        <v>549</v>
      </c>
      <c r="H29" s="107"/>
      <c r="I29" s="66">
        <f>ROUND(SUM(F28:F29)+I28,2)</f>
        <v>0</v>
      </c>
    </row>
    <row r="31" spans="1:9" x14ac:dyDescent="0.25">
      <c r="A31" s="119" t="s">
        <v>550</v>
      </c>
      <c r="B31" s="111"/>
      <c r="C31" s="112"/>
      <c r="D31" s="110" t="s">
        <v>551</v>
      </c>
      <c r="E31" s="111"/>
      <c r="F31" s="112"/>
      <c r="G31" s="110" t="s">
        <v>552</v>
      </c>
      <c r="H31" s="111"/>
      <c r="I31" s="112"/>
    </row>
    <row r="32" spans="1:9" x14ac:dyDescent="0.25">
      <c r="A32" s="120" t="s">
        <v>55</v>
      </c>
      <c r="B32" s="114"/>
      <c r="C32" s="115"/>
      <c r="D32" s="113" t="s">
        <v>55</v>
      </c>
      <c r="E32" s="114"/>
      <c r="F32" s="115"/>
      <c r="G32" s="113" t="s">
        <v>55</v>
      </c>
      <c r="H32" s="114"/>
      <c r="I32" s="115"/>
    </row>
    <row r="33" spans="1:9" x14ac:dyDescent="0.25">
      <c r="A33" s="120" t="s">
        <v>55</v>
      </c>
      <c r="B33" s="114"/>
      <c r="C33" s="115"/>
      <c r="D33" s="113" t="s">
        <v>55</v>
      </c>
      <c r="E33" s="114"/>
      <c r="F33" s="115"/>
      <c r="G33" s="113" t="s">
        <v>55</v>
      </c>
      <c r="H33" s="114"/>
      <c r="I33" s="115"/>
    </row>
    <row r="34" spans="1:9" x14ac:dyDescent="0.25">
      <c r="A34" s="120" t="s">
        <v>55</v>
      </c>
      <c r="B34" s="114"/>
      <c r="C34" s="115"/>
      <c r="D34" s="113" t="s">
        <v>55</v>
      </c>
      <c r="E34" s="114"/>
      <c r="F34" s="115"/>
      <c r="G34" s="113" t="s">
        <v>55</v>
      </c>
      <c r="H34" s="114"/>
      <c r="I34" s="115"/>
    </row>
    <row r="35" spans="1:9" x14ac:dyDescent="0.25">
      <c r="A35" s="121" t="s">
        <v>553</v>
      </c>
      <c r="B35" s="117"/>
      <c r="C35" s="118"/>
      <c r="D35" s="116" t="s">
        <v>553</v>
      </c>
      <c r="E35" s="117"/>
      <c r="F35" s="118"/>
      <c r="G35" s="116" t="s">
        <v>553</v>
      </c>
      <c r="H35" s="117"/>
      <c r="I35" s="118"/>
    </row>
    <row r="36" spans="1:9" x14ac:dyDescent="0.25">
      <c r="A36" s="56" t="s">
        <v>511</v>
      </c>
    </row>
    <row r="37" spans="1:9" ht="12.75" customHeight="1" x14ac:dyDescent="0.25">
      <c r="A37" s="80" t="s">
        <v>55</v>
      </c>
      <c r="B37" s="73"/>
      <c r="C37" s="73"/>
      <c r="D37" s="73"/>
      <c r="E37" s="73"/>
      <c r="F37" s="73"/>
      <c r="G37" s="73"/>
      <c r="H37" s="73"/>
      <c r="I37" s="73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24"/>
  <sheetViews>
    <sheetView tabSelected="1" workbookViewId="0">
      <pane ySplit="11" topLeftCell="A12" activePane="bottomLeft" state="frozen"/>
      <selection pane="bottomLeft" activeCell="G12" sqref="G12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35.7109375" customWidth="1"/>
    <col min="5" max="5" width="6.7109375" customWidth="1"/>
    <col min="6" max="6" width="12.85546875" customWidth="1"/>
    <col min="7" max="7" width="12" customWidth="1"/>
    <col min="8" max="10" width="15.7109375" customWidth="1"/>
    <col min="11" max="12" width="11.7109375" customWidth="1"/>
    <col min="13" max="13" width="13.4257812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70" t="s">
        <v>1</v>
      </c>
      <c r="B2" s="71"/>
      <c r="C2" s="124" t="s">
        <v>2</v>
      </c>
      <c r="D2" s="125"/>
      <c r="E2" s="71" t="s">
        <v>3</v>
      </c>
      <c r="F2" s="71"/>
      <c r="G2" s="71" t="s">
        <v>4</v>
      </c>
      <c r="H2" s="85" t="s">
        <v>5</v>
      </c>
      <c r="I2" s="75" t="s">
        <v>6</v>
      </c>
      <c r="J2" s="76"/>
      <c r="K2" s="76"/>
      <c r="L2" s="76"/>
      <c r="M2" s="128"/>
    </row>
    <row r="3" spans="1:76" x14ac:dyDescent="0.25">
      <c r="A3" s="72"/>
      <c r="B3" s="73"/>
      <c r="C3" s="126"/>
      <c r="D3" s="126"/>
      <c r="E3" s="73"/>
      <c r="F3" s="73"/>
      <c r="G3" s="73"/>
      <c r="H3" s="73"/>
      <c r="I3" s="77"/>
      <c r="J3" s="77"/>
      <c r="K3" s="77"/>
      <c r="L3" s="77"/>
      <c r="M3" s="129"/>
    </row>
    <row r="4" spans="1:76" x14ac:dyDescent="0.25">
      <c r="A4" s="74" t="s">
        <v>7</v>
      </c>
      <c r="B4" s="73"/>
      <c r="C4" s="127" t="s">
        <v>8</v>
      </c>
      <c r="D4" s="77"/>
      <c r="E4" s="73" t="s">
        <v>9</v>
      </c>
      <c r="F4" s="73"/>
      <c r="G4" s="73" t="s">
        <v>10</v>
      </c>
      <c r="H4" s="80" t="s">
        <v>11</v>
      </c>
      <c r="I4" s="127" t="s">
        <v>12</v>
      </c>
      <c r="J4" s="77"/>
      <c r="K4" s="77"/>
      <c r="L4" s="77"/>
      <c r="M4" s="129"/>
    </row>
    <row r="5" spans="1:76" x14ac:dyDescent="0.25">
      <c r="A5" s="72"/>
      <c r="B5" s="73"/>
      <c r="C5" s="77"/>
      <c r="D5" s="77"/>
      <c r="E5" s="73"/>
      <c r="F5" s="73"/>
      <c r="G5" s="73"/>
      <c r="H5" s="73"/>
      <c r="I5" s="77"/>
      <c r="J5" s="77"/>
      <c r="K5" s="77"/>
      <c r="L5" s="77"/>
      <c r="M5" s="129"/>
    </row>
    <row r="6" spans="1:76" x14ac:dyDescent="0.25">
      <c r="A6" s="74" t="s">
        <v>13</v>
      </c>
      <c r="B6" s="73"/>
      <c r="C6" s="80" t="s">
        <v>14</v>
      </c>
      <c r="D6" s="73"/>
      <c r="E6" s="73" t="s">
        <v>15</v>
      </c>
      <c r="F6" s="73"/>
      <c r="G6" s="73" t="s">
        <v>4</v>
      </c>
      <c r="H6" s="80" t="s">
        <v>16</v>
      </c>
      <c r="I6" s="80" t="s">
        <v>17</v>
      </c>
      <c r="J6" s="73"/>
      <c r="K6" s="73"/>
      <c r="L6" s="73"/>
      <c r="M6" s="82"/>
    </row>
    <row r="7" spans="1:76" x14ac:dyDescent="0.25">
      <c r="A7" s="72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82"/>
    </row>
    <row r="8" spans="1:76" x14ac:dyDescent="0.25">
      <c r="A8" s="74" t="s">
        <v>18</v>
      </c>
      <c r="B8" s="73"/>
      <c r="C8" s="80" t="s">
        <v>19</v>
      </c>
      <c r="D8" s="73"/>
      <c r="E8" s="73" t="s">
        <v>20</v>
      </c>
      <c r="F8" s="73"/>
      <c r="G8" s="73" t="s">
        <v>21</v>
      </c>
      <c r="H8" s="80" t="s">
        <v>22</v>
      </c>
      <c r="I8" s="80" t="s">
        <v>23</v>
      </c>
      <c r="J8" s="73"/>
      <c r="K8" s="73"/>
      <c r="L8" s="73"/>
      <c r="M8" s="82"/>
    </row>
    <row r="9" spans="1:76" x14ac:dyDescent="0.25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30"/>
    </row>
    <row r="10" spans="1:76" x14ac:dyDescent="0.25">
      <c r="A10" s="5" t="s">
        <v>24</v>
      </c>
      <c r="B10" s="6" t="s">
        <v>25</v>
      </c>
      <c r="C10" s="131" t="s">
        <v>26</v>
      </c>
      <c r="D10" s="132"/>
      <c r="E10" s="6" t="s">
        <v>27</v>
      </c>
      <c r="F10" s="7" t="s">
        <v>28</v>
      </c>
      <c r="G10" s="8" t="s">
        <v>29</v>
      </c>
      <c r="H10" s="140" t="s">
        <v>30</v>
      </c>
      <c r="I10" s="141"/>
      <c r="J10" s="142"/>
      <c r="K10" s="143" t="s">
        <v>31</v>
      </c>
      <c r="L10" s="144"/>
      <c r="M10" s="9" t="s">
        <v>32</v>
      </c>
      <c r="BK10" s="10" t="s">
        <v>33</v>
      </c>
      <c r="BL10" s="11" t="s">
        <v>34</v>
      </c>
      <c r="BW10" s="11" t="s">
        <v>35</v>
      </c>
    </row>
    <row r="11" spans="1:76" x14ac:dyDescent="0.25">
      <c r="A11" s="12" t="s">
        <v>4</v>
      </c>
      <c r="B11" s="13" t="s">
        <v>4</v>
      </c>
      <c r="C11" s="138" t="s">
        <v>36</v>
      </c>
      <c r="D11" s="139"/>
      <c r="E11" s="13" t="s">
        <v>4</v>
      </c>
      <c r="F11" s="13" t="s">
        <v>4</v>
      </c>
      <c r="G11" s="14" t="s">
        <v>37</v>
      </c>
      <c r="H11" s="15" t="s">
        <v>38</v>
      </c>
      <c r="I11" s="16" t="s">
        <v>39</v>
      </c>
      <c r="J11" s="17" t="s">
        <v>40</v>
      </c>
      <c r="K11" s="18" t="s">
        <v>41</v>
      </c>
      <c r="L11" s="19" t="s">
        <v>40</v>
      </c>
      <c r="M11" s="20" t="s">
        <v>42</v>
      </c>
      <c r="Z11" s="10" t="s">
        <v>43</v>
      </c>
      <c r="AA11" s="10" t="s">
        <v>44</v>
      </c>
      <c r="AB11" s="10" t="s">
        <v>45</v>
      </c>
      <c r="AC11" s="10" t="s">
        <v>46</v>
      </c>
      <c r="AD11" s="10" t="s">
        <v>47</v>
      </c>
      <c r="AE11" s="10" t="s">
        <v>48</v>
      </c>
      <c r="AF11" s="10" t="s">
        <v>49</v>
      </c>
      <c r="AG11" s="10" t="s">
        <v>50</v>
      </c>
      <c r="AH11" s="10" t="s">
        <v>51</v>
      </c>
      <c r="BH11" s="10" t="s">
        <v>52</v>
      </c>
      <c r="BI11" s="10" t="s">
        <v>53</v>
      </c>
      <c r="BJ11" s="10" t="s">
        <v>54</v>
      </c>
    </row>
    <row r="12" spans="1:76" x14ac:dyDescent="0.25">
      <c r="A12" s="21" t="s">
        <v>55</v>
      </c>
      <c r="B12" s="22" t="s">
        <v>56</v>
      </c>
      <c r="C12" s="145" t="s">
        <v>57</v>
      </c>
      <c r="D12" s="146"/>
      <c r="E12" s="23" t="s">
        <v>4</v>
      </c>
      <c r="F12" s="23" t="s">
        <v>4</v>
      </c>
      <c r="G12" s="23" t="s">
        <v>4</v>
      </c>
      <c r="H12" s="24">
        <f>ROUND(SUM(H13:H13),2)</f>
        <v>0</v>
      </c>
      <c r="I12" s="24">
        <f>ROUND(SUM(I13:I13),2)</f>
        <v>0</v>
      </c>
      <c r="J12" s="24">
        <f>ROUND(SUM(J13:J13),2)</f>
        <v>0</v>
      </c>
      <c r="K12" s="25" t="s">
        <v>55</v>
      </c>
      <c r="L12" s="24">
        <f>SUM(L13:L13)</f>
        <v>0</v>
      </c>
      <c r="M12" s="26" t="s">
        <v>55</v>
      </c>
      <c r="AI12" s="10" t="s">
        <v>55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58</v>
      </c>
      <c r="B13" s="3" t="s">
        <v>59</v>
      </c>
      <c r="C13" s="80" t="s">
        <v>60</v>
      </c>
      <c r="D13" s="73"/>
      <c r="E13" s="3" t="s">
        <v>61</v>
      </c>
      <c r="F13" s="27">
        <v>6</v>
      </c>
      <c r="G13" s="67">
        <v>0</v>
      </c>
      <c r="H13" s="27">
        <f>ROUND(F13*AO13,2)</f>
        <v>0</v>
      </c>
      <c r="I13" s="27">
        <f>ROUND(F13*AP13,2)</f>
        <v>0</v>
      </c>
      <c r="J13" s="27">
        <f>ROUND(F13*G13,2)</f>
        <v>0</v>
      </c>
      <c r="K13" s="27">
        <v>0</v>
      </c>
      <c r="L13" s="27">
        <f>F13*K13</f>
        <v>0</v>
      </c>
      <c r="M13" s="28" t="s">
        <v>62</v>
      </c>
      <c r="Z13" s="27">
        <f>ROUND(IF(AQ13="5",BJ13,0),2)</f>
        <v>0</v>
      </c>
      <c r="AB13" s="27">
        <f>ROUND(IF(AQ13="1",BH13,0),2)</f>
        <v>0</v>
      </c>
      <c r="AC13" s="27">
        <f>ROUND(IF(AQ13="1",BI13,0),2)</f>
        <v>0</v>
      </c>
      <c r="AD13" s="27">
        <f>ROUND(IF(AQ13="7",BH13,0),2)</f>
        <v>0</v>
      </c>
      <c r="AE13" s="27">
        <f>ROUND(IF(AQ13="7",BI13,0),2)</f>
        <v>0</v>
      </c>
      <c r="AF13" s="27">
        <f>ROUND(IF(AQ13="2",BH13,0),2)</f>
        <v>0</v>
      </c>
      <c r="AG13" s="27">
        <f>ROUND(IF(AQ13="2",BI13,0),2)</f>
        <v>0</v>
      </c>
      <c r="AH13" s="27">
        <f>ROUND(IF(AQ13="0",BJ13,0),2)</f>
        <v>0</v>
      </c>
      <c r="AI13" s="10" t="s">
        <v>55</v>
      </c>
      <c r="AJ13" s="27">
        <f>IF(AN13=0,J13,0)</f>
        <v>0</v>
      </c>
      <c r="AK13" s="27">
        <f>IF(AN13=12,J13,0)</f>
        <v>0</v>
      </c>
      <c r="AL13" s="27">
        <f>IF(AN13=21,J13,0)</f>
        <v>0</v>
      </c>
      <c r="AN13" s="27">
        <v>21</v>
      </c>
      <c r="AO13" s="27">
        <f>G13*0</f>
        <v>0</v>
      </c>
      <c r="AP13" s="27">
        <f>G13*(1-0)</f>
        <v>0</v>
      </c>
      <c r="AQ13" s="29" t="s">
        <v>58</v>
      </c>
      <c r="AV13" s="27">
        <f>ROUND(AW13+AX13,2)</f>
        <v>0</v>
      </c>
      <c r="AW13" s="27">
        <f>ROUND(F13*AO13,2)</f>
        <v>0</v>
      </c>
      <c r="AX13" s="27">
        <f>ROUND(F13*AP13,2)</f>
        <v>0</v>
      </c>
      <c r="AY13" s="29" t="s">
        <v>63</v>
      </c>
      <c r="AZ13" s="29" t="s">
        <v>64</v>
      </c>
      <c r="BA13" s="10" t="s">
        <v>65</v>
      </c>
      <c r="BC13" s="27">
        <f>AW13+AX13</f>
        <v>0</v>
      </c>
      <c r="BD13" s="27">
        <f>G13/(100-BE13)*100</f>
        <v>0</v>
      </c>
      <c r="BE13" s="27">
        <v>0</v>
      </c>
      <c r="BF13" s="27">
        <f>L13</f>
        <v>0</v>
      </c>
      <c r="BH13" s="27">
        <f>F13*AO13</f>
        <v>0</v>
      </c>
      <c r="BI13" s="27">
        <f>F13*AP13</f>
        <v>0</v>
      </c>
      <c r="BJ13" s="27">
        <f>F13*G13</f>
        <v>0</v>
      </c>
      <c r="BK13" s="29" t="s">
        <v>66</v>
      </c>
      <c r="BL13" s="27">
        <v>21</v>
      </c>
      <c r="BW13" s="27">
        <v>21</v>
      </c>
      <c r="BX13" s="4" t="s">
        <v>60</v>
      </c>
    </row>
    <row r="14" spans="1:76" x14ac:dyDescent="0.25">
      <c r="A14" s="30"/>
      <c r="C14" s="31" t="s">
        <v>67</v>
      </c>
      <c r="D14" s="31" t="s">
        <v>55</v>
      </c>
      <c r="F14" s="32">
        <v>0</v>
      </c>
      <c r="M14" s="33"/>
    </row>
    <row r="15" spans="1:76" x14ac:dyDescent="0.25">
      <c r="A15" s="30"/>
      <c r="C15" s="31" t="s">
        <v>68</v>
      </c>
      <c r="D15" s="31" t="s">
        <v>69</v>
      </c>
      <c r="F15" s="32">
        <v>6</v>
      </c>
      <c r="M15" s="33"/>
    </row>
    <row r="16" spans="1:76" x14ac:dyDescent="0.25">
      <c r="A16" s="34" t="s">
        <v>55</v>
      </c>
      <c r="B16" s="35" t="s">
        <v>70</v>
      </c>
      <c r="C16" s="133" t="s">
        <v>71</v>
      </c>
      <c r="D16" s="134"/>
      <c r="E16" s="36" t="s">
        <v>4</v>
      </c>
      <c r="F16" s="36" t="s">
        <v>4</v>
      </c>
      <c r="G16" s="36" t="s">
        <v>4</v>
      </c>
      <c r="H16" s="1">
        <f>ROUND(SUM(H17:H17),2)</f>
        <v>0</v>
      </c>
      <c r="I16" s="1">
        <f>ROUND(SUM(I17:I17),2)</f>
        <v>0</v>
      </c>
      <c r="J16" s="1">
        <f>ROUND(SUM(J17:J17),2)</f>
        <v>0</v>
      </c>
      <c r="K16" s="10" t="s">
        <v>55</v>
      </c>
      <c r="L16" s="1">
        <f>SUM(L17:L17)</f>
        <v>2.4104700000000001</v>
      </c>
      <c r="M16" s="37" t="s">
        <v>55</v>
      </c>
      <c r="AI16" s="10" t="s">
        <v>55</v>
      </c>
      <c r="AS16" s="1">
        <f>SUM(AJ17:AJ17)</f>
        <v>0</v>
      </c>
      <c r="AT16" s="1">
        <f>SUM(AK17:AK17)</f>
        <v>0</v>
      </c>
      <c r="AU16" s="1">
        <f>SUM(AL17:AL17)</f>
        <v>0</v>
      </c>
    </row>
    <row r="17" spans="1:76" x14ac:dyDescent="0.25">
      <c r="A17" s="2" t="s">
        <v>72</v>
      </c>
      <c r="B17" s="3" t="s">
        <v>73</v>
      </c>
      <c r="C17" s="80" t="s">
        <v>74</v>
      </c>
      <c r="D17" s="73"/>
      <c r="E17" s="3" t="s">
        <v>61</v>
      </c>
      <c r="F17" s="27">
        <v>9</v>
      </c>
      <c r="G17" s="67">
        <v>0</v>
      </c>
      <c r="H17" s="27">
        <f>ROUND(F17*AO17,2)</f>
        <v>0</v>
      </c>
      <c r="I17" s="27">
        <f>ROUND(F17*AP17,2)</f>
        <v>0</v>
      </c>
      <c r="J17" s="27">
        <f>ROUND(F17*G17,2)</f>
        <v>0</v>
      </c>
      <c r="K17" s="27">
        <v>0.26783000000000001</v>
      </c>
      <c r="L17" s="27">
        <f>F17*K17</f>
        <v>2.4104700000000001</v>
      </c>
      <c r="M17" s="28" t="s">
        <v>62</v>
      </c>
      <c r="Z17" s="27">
        <f>ROUND(IF(AQ17="5",BJ17,0),2)</f>
        <v>0</v>
      </c>
      <c r="AB17" s="27">
        <f>ROUND(IF(AQ17="1",BH17,0),2)</f>
        <v>0</v>
      </c>
      <c r="AC17" s="27">
        <f>ROUND(IF(AQ17="1",BI17,0),2)</f>
        <v>0</v>
      </c>
      <c r="AD17" s="27">
        <f>ROUND(IF(AQ17="7",BH17,0),2)</f>
        <v>0</v>
      </c>
      <c r="AE17" s="27">
        <f>ROUND(IF(AQ17="7",BI17,0),2)</f>
        <v>0</v>
      </c>
      <c r="AF17" s="27">
        <f>ROUND(IF(AQ17="2",BH17,0),2)</f>
        <v>0</v>
      </c>
      <c r="AG17" s="27">
        <f>ROUND(IF(AQ17="2",BI17,0),2)</f>
        <v>0</v>
      </c>
      <c r="AH17" s="27">
        <f>ROUND(IF(AQ17="0",BJ17,0),2)</f>
        <v>0</v>
      </c>
      <c r="AI17" s="10" t="s">
        <v>55</v>
      </c>
      <c r="AJ17" s="27">
        <f>IF(AN17=0,J17,0)</f>
        <v>0</v>
      </c>
      <c r="AK17" s="27">
        <f>IF(AN17=12,J17,0)</f>
        <v>0</v>
      </c>
      <c r="AL17" s="27">
        <f>IF(AN17=21,J17,0)</f>
        <v>0</v>
      </c>
      <c r="AN17" s="27">
        <v>21</v>
      </c>
      <c r="AO17" s="27">
        <f>G17*0.52735006</f>
        <v>0</v>
      </c>
      <c r="AP17" s="27">
        <f>G17*(1-0.52735006)</f>
        <v>0</v>
      </c>
      <c r="AQ17" s="29" t="s">
        <v>58</v>
      </c>
      <c r="AV17" s="27">
        <f>ROUND(AW17+AX17,2)</f>
        <v>0</v>
      </c>
      <c r="AW17" s="27">
        <f>ROUND(F17*AO17,2)</f>
        <v>0</v>
      </c>
      <c r="AX17" s="27">
        <f>ROUND(F17*AP17,2)</f>
        <v>0</v>
      </c>
      <c r="AY17" s="29" t="s">
        <v>75</v>
      </c>
      <c r="AZ17" s="29" t="s">
        <v>76</v>
      </c>
      <c r="BA17" s="10" t="s">
        <v>65</v>
      </c>
      <c r="BC17" s="27">
        <f>AW17+AX17</f>
        <v>0</v>
      </c>
      <c r="BD17" s="27">
        <f>G17/(100-BE17)*100</f>
        <v>0</v>
      </c>
      <c r="BE17" s="27">
        <v>0</v>
      </c>
      <c r="BF17" s="27">
        <f>L17</f>
        <v>2.4104700000000001</v>
      </c>
      <c r="BH17" s="27">
        <f>F17*AO17</f>
        <v>0</v>
      </c>
      <c r="BI17" s="27">
        <f>F17*AP17</f>
        <v>0</v>
      </c>
      <c r="BJ17" s="27">
        <f>F17*G17</f>
        <v>0</v>
      </c>
      <c r="BK17" s="29" t="s">
        <v>66</v>
      </c>
      <c r="BL17" s="27">
        <v>34</v>
      </c>
      <c r="BW17" s="27">
        <v>21</v>
      </c>
      <c r="BX17" s="4" t="s">
        <v>74</v>
      </c>
    </row>
    <row r="18" spans="1:76" ht="13.5" customHeight="1" x14ac:dyDescent="0.25">
      <c r="A18" s="30"/>
      <c r="C18" s="135" t="s">
        <v>77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7"/>
    </row>
    <row r="19" spans="1:76" x14ac:dyDescent="0.25">
      <c r="A19" s="30"/>
      <c r="C19" s="31" t="s">
        <v>78</v>
      </c>
      <c r="D19" s="31" t="s">
        <v>79</v>
      </c>
      <c r="F19" s="32">
        <v>9</v>
      </c>
      <c r="M19" s="33"/>
    </row>
    <row r="20" spans="1:76" x14ac:dyDescent="0.25">
      <c r="A20" s="34" t="s">
        <v>55</v>
      </c>
      <c r="B20" s="35" t="s">
        <v>80</v>
      </c>
      <c r="C20" s="133" t="s">
        <v>81</v>
      </c>
      <c r="D20" s="134"/>
      <c r="E20" s="36" t="s">
        <v>4</v>
      </c>
      <c r="F20" s="36" t="s">
        <v>4</v>
      </c>
      <c r="G20" s="36" t="s">
        <v>4</v>
      </c>
      <c r="H20" s="1">
        <f>ROUND(SUM(H21:H21),2)</f>
        <v>0</v>
      </c>
      <c r="I20" s="1">
        <f>ROUND(SUM(I21:I21),2)</f>
        <v>0</v>
      </c>
      <c r="J20" s="1">
        <f>ROUND(SUM(J21:J21),2)</f>
        <v>0</v>
      </c>
      <c r="K20" s="10" t="s">
        <v>55</v>
      </c>
      <c r="L20" s="1">
        <f>SUM(L21:L21)</f>
        <v>3.168E-2</v>
      </c>
      <c r="M20" s="37" t="s">
        <v>55</v>
      </c>
      <c r="AI20" s="10" t="s">
        <v>55</v>
      </c>
      <c r="AS20" s="1">
        <f>SUM(AJ21:AJ21)</f>
        <v>0</v>
      </c>
      <c r="AT20" s="1">
        <f>SUM(AK21:AK21)</f>
        <v>0</v>
      </c>
      <c r="AU20" s="1">
        <f>SUM(AL21:AL21)</f>
        <v>0</v>
      </c>
    </row>
    <row r="21" spans="1:76" x14ac:dyDescent="0.25">
      <c r="A21" s="2" t="s">
        <v>82</v>
      </c>
      <c r="B21" s="3" t="s">
        <v>83</v>
      </c>
      <c r="C21" s="80" t="s">
        <v>84</v>
      </c>
      <c r="D21" s="73"/>
      <c r="E21" s="3" t="s">
        <v>85</v>
      </c>
      <c r="F21" s="27">
        <v>31.68</v>
      </c>
      <c r="G21" s="67">
        <v>0</v>
      </c>
      <c r="H21" s="27">
        <f>ROUND(F21*AO21,2)</f>
        <v>0</v>
      </c>
      <c r="I21" s="27">
        <f>ROUND(F21*AP21,2)</f>
        <v>0</v>
      </c>
      <c r="J21" s="27">
        <f>ROUND(F21*G21,2)</f>
        <v>0</v>
      </c>
      <c r="K21" s="27">
        <v>1E-3</v>
      </c>
      <c r="L21" s="27">
        <f>F21*K21</f>
        <v>3.168E-2</v>
      </c>
      <c r="M21" s="28" t="s">
        <v>62</v>
      </c>
      <c r="Z21" s="27">
        <f>ROUND(IF(AQ21="5",BJ21,0),2)</f>
        <v>0</v>
      </c>
      <c r="AB21" s="27">
        <f>ROUND(IF(AQ21="1",BH21,0),2)</f>
        <v>0</v>
      </c>
      <c r="AC21" s="27">
        <f>ROUND(IF(AQ21="1",BI21,0),2)</f>
        <v>0</v>
      </c>
      <c r="AD21" s="27">
        <f>ROUND(IF(AQ21="7",BH21,0),2)</f>
        <v>0</v>
      </c>
      <c r="AE21" s="27">
        <f>ROUND(IF(AQ21="7",BI21,0),2)</f>
        <v>0</v>
      </c>
      <c r="AF21" s="27">
        <f>ROUND(IF(AQ21="2",BH21,0),2)</f>
        <v>0</v>
      </c>
      <c r="AG21" s="27">
        <f>ROUND(IF(AQ21="2",BI21,0),2)</f>
        <v>0</v>
      </c>
      <c r="AH21" s="27">
        <f>ROUND(IF(AQ21="0",BJ21,0),2)</f>
        <v>0</v>
      </c>
      <c r="AI21" s="10" t="s">
        <v>55</v>
      </c>
      <c r="AJ21" s="27">
        <f>IF(AN21=0,J21,0)</f>
        <v>0</v>
      </c>
      <c r="AK21" s="27">
        <f>IF(AN21=12,J21,0)</f>
        <v>0</v>
      </c>
      <c r="AL21" s="27">
        <f>IF(AN21=21,J21,0)</f>
        <v>0</v>
      </c>
      <c r="AN21" s="27">
        <v>21</v>
      </c>
      <c r="AO21" s="27">
        <f>G21*0.710905183</f>
        <v>0</v>
      </c>
      <c r="AP21" s="27">
        <f>G21*(1-0.710905183)</f>
        <v>0</v>
      </c>
      <c r="AQ21" s="29" t="s">
        <v>58</v>
      </c>
      <c r="AV21" s="27">
        <f>ROUND(AW21+AX21,2)</f>
        <v>0</v>
      </c>
      <c r="AW21" s="27">
        <f>ROUND(F21*AO21,2)</f>
        <v>0</v>
      </c>
      <c r="AX21" s="27">
        <f>ROUND(F21*AP21,2)</f>
        <v>0</v>
      </c>
      <c r="AY21" s="29" t="s">
        <v>86</v>
      </c>
      <c r="AZ21" s="29" t="s">
        <v>76</v>
      </c>
      <c r="BA21" s="10" t="s">
        <v>65</v>
      </c>
      <c r="BC21" s="27">
        <f>AW21+AX21</f>
        <v>0</v>
      </c>
      <c r="BD21" s="27">
        <f>G21/(100-BE21)*100</f>
        <v>0</v>
      </c>
      <c r="BE21" s="27">
        <v>0</v>
      </c>
      <c r="BF21" s="27">
        <f>L21</f>
        <v>3.168E-2</v>
      </c>
      <c r="BH21" s="27">
        <f>F21*AO21</f>
        <v>0</v>
      </c>
      <c r="BI21" s="27">
        <f>F21*AP21</f>
        <v>0</v>
      </c>
      <c r="BJ21" s="27">
        <f>F21*G21</f>
        <v>0</v>
      </c>
      <c r="BK21" s="29" t="s">
        <v>66</v>
      </c>
      <c r="BL21" s="27">
        <v>38</v>
      </c>
      <c r="BW21" s="27">
        <v>21</v>
      </c>
      <c r="BX21" s="4" t="s">
        <v>84</v>
      </c>
    </row>
    <row r="22" spans="1:76" x14ac:dyDescent="0.25">
      <c r="A22" s="30"/>
      <c r="C22" s="31" t="s">
        <v>87</v>
      </c>
      <c r="D22" s="31" t="s">
        <v>88</v>
      </c>
      <c r="F22" s="32">
        <v>31.68</v>
      </c>
      <c r="M22" s="33"/>
    </row>
    <row r="23" spans="1:76" x14ac:dyDescent="0.25">
      <c r="A23" s="34" t="s">
        <v>55</v>
      </c>
      <c r="B23" s="35" t="s">
        <v>89</v>
      </c>
      <c r="C23" s="133" t="s">
        <v>90</v>
      </c>
      <c r="D23" s="134"/>
      <c r="E23" s="36" t="s">
        <v>4</v>
      </c>
      <c r="F23" s="36" t="s">
        <v>4</v>
      </c>
      <c r="G23" s="36" t="s">
        <v>4</v>
      </c>
      <c r="H23" s="1">
        <f>ROUND(SUM(H24:H24),2)</f>
        <v>0</v>
      </c>
      <c r="I23" s="1">
        <f>ROUND(SUM(I24:I24),2)</f>
        <v>0</v>
      </c>
      <c r="J23" s="1">
        <f>ROUND(SUM(J24:J24),2)</f>
        <v>0</v>
      </c>
      <c r="K23" s="10" t="s">
        <v>55</v>
      </c>
      <c r="L23" s="1">
        <f>SUM(L24:L24)</f>
        <v>4.7655000000000003E-2</v>
      </c>
      <c r="M23" s="37" t="s">
        <v>55</v>
      </c>
      <c r="AI23" s="10" t="s">
        <v>55</v>
      </c>
      <c r="AS23" s="1">
        <f>SUM(AJ24:AJ24)</f>
        <v>0</v>
      </c>
      <c r="AT23" s="1">
        <f>SUM(AK24:AK24)</f>
        <v>0</v>
      </c>
      <c r="AU23" s="1">
        <f>SUM(AL24:AL24)</f>
        <v>0</v>
      </c>
    </row>
    <row r="24" spans="1:76" ht="25.5" x14ac:dyDescent="0.25">
      <c r="A24" s="2" t="s">
        <v>91</v>
      </c>
      <c r="B24" s="3" t="s">
        <v>92</v>
      </c>
      <c r="C24" s="80" t="s">
        <v>93</v>
      </c>
      <c r="D24" s="73"/>
      <c r="E24" s="3" t="s">
        <v>61</v>
      </c>
      <c r="F24" s="27">
        <v>4.5</v>
      </c>
      <c r="G24" s="67">
        <v>0</v>
      </c>
      <c r="H24" s="27">
        <f>ROUND(F24*AO24,2)</f>
        <v>0</v>
      </c>
      <c r="I24" s="27">
        <f>ROUND(F24*AP24,2)</f>
        <v>0</v>
      </c>
      <c r="J24" s="27">
        <f>ROUND(F24*G24,2)</f>
        <v>0</v>
      </c>
      <c r="K24" s="27">
        <v>1.059E-2</v>
      </c>
      <c r="L24" s="27">
        <f>F24*K24</f>
        <v>4.7655000000000003E-2</v>
      </c>
      <c r="M24" s="28" t="s">
        <v>62</v>
      </c>
      <c r="Z24" s="27">
        <f>ROUND(IF(AQ24="5",BJ24,0),2)</f>
        <v>0</v>
      </c>
      <c r="AB24" s="27">
        <f>ROUND(IF(AQ24="1",BH24,0),2)</f>
        <v>0</v>
      </c>
      <c r="AC24" s="27">
        <f>ROUND(IF(AQ24="1",BI24,0),2)</f>
        <v>0</v>
      </c>
      <c r="AD24" s="27">
        <f>ROUND(IF(AQ24="7",BH24,0),2)</f>
        <v>0</v>
      </c>
      <c r="AE24" s="27">
        <f>ROUND(IF(AQ24="7",BI24,0),2)</f>
        <v>0</v>
      </c>
      <c r="AF24" s="27">
        <f>ROUND(IF(AQ24="2",BH24,0),2)</f>
        <v>0</v>
      </c>
      <c r="AG24" s="27">
        <f>ROUND(IF(AQ24="2",BI24,0),2)</f>
        <v>0</v>
      </c>
      <c r="AH24" s="27">
        <f>ROUND(IF(AQ24="0",BJ24,0),2)</f>
        <v>0</v>
      </c>
      <c r="AI24" s="10" t="s">
        <v>55</v>
      </c>
      <c r="AJ24" s="27">
        <f>IF(AN24=0,J24,0)</f>
        <v>0</v>
      </c>
      <c r="AK24" s="27">
        <f>IF(AN24=12,J24,0)</f>
        <v>0</v>
      </c>
      <c r="AL24" s="27">
        <f>IF(AN24=21,J24,0)</f>
        <v>0</v>
      </c>
      <c r="AN24" s="27">
        <v>21</v>
      </c>
      <c r="AO24" s="27">
        <f>G24*0.893786164</f>
        <v>0</v>
      </c>
      <c r="AP24" s="27">
        <f>G24*(1-0.893786164)</f>
        <v>0</v>
      </c>
      <c r="AQ24" s="29" t="s">
        <v>58</v>
      </c>
      <c r="AV24" s="27">
        <f>ROUND(AW24+AX24,2)</f>
        <v>0</v>
      </c>
      <c r="AW24" s="27">
        <f>ROUND(F24*AO24,2)</f>
        <v>0</v>
      </c>
      <c r="AX24" s="27">
        <f>ROUND(F24*AP24,2)</f>
        <v>0</v>
      </c>
      <c r="AY24" s="29" t="s">
        <v>94</v>
      </c>
      <c r="AZ24" s="29" t="s">
        <v>95</v>
      </c>
      <c r="BA24" s="10" t="s">
        <v>65</v>
      </c>
      <c r="BC24" s="27">
        <f>AW24+AX24</f>
        <v>0</v>
      </c>
      <c r="BD24" s="27">
        <f>G24/(100-BE24)*100</f>
        <v>0</v>
      </c>
      <c r="BE24" s="27">
        <v>0</v>
      </c>
      <c r="BF24" s="27">
        <f>L24</f>
        <v>4.7655000000000003E-2</v>
      </c>
      <c r="BH24" s="27">
        <f>F24*AO24</f>
        <v>0</v>
      </c>
      <c r="BI24" s="27">
        <f>F24*AP24</f>
        <v>0</v>
      </c>
      <c r="BJ24" s="27">
        <f>F24*G24</f>
        <v>0</v>
      </c>
      <c r="BK24" s="29" t="s">
        <v>66</v>
      </c>
      <c r="BL24" s="27">
        <v>41</v>
      </c>
      <c r="BW24" s="27">
        <v>21</v>
      </c>
      <c r="BX24" s="4" t="s">
        <v>93</v>
      </c>
    </row>
    <row r="25" spans="1:76" x14ac:dyDescent="0.25">
      <c r="A25" s="30"/>
      <c r="C25" s="31" t="s">
        <v>96</v>
      </c>
      <c r="D25" s="31" t="s">
        <v>97</v>
      </c>
      <c r="F25" s="32">
        <v>4.5</v>
      </c>
      <c r="M25" s="33"/>
    </row>
    <row r="26" spans="1:76" x14ac:dyDescent="0.25">
      <c r="A26" s="34" t="s">
        <v>55</v>
      </c>
      <c r="B26" s="35" t="s">
        <v>98</v>
      </c>
      <c r="C26" s="133" t="s">
        <v>99</v>
      </c>
      <c r="D26" s="134"/>
      <c r="E26" s="36" t="s">
        <v>4</v>
      </c>
      <c r="F26" s="36" t="s">
        <v>4</v>
      </c>
      <c r="G26" s="36" t="s">
        <v>4</v>
      </c>
      <c r="H26" s="1">
        <f>ROUND(SUM(H27:H27),2)</f>
        <v>0</v>
      </c>
      <c r="I26" s="1">
        <f>ROUND(SUM(I27:I27),2)</f>
        <v>0</v>
      </c>
      <c r="J26" s="1">
        <f>ROUND(SUM(J27:J27),2)</f>
        <v>0</v>
      </c>
      <c r="K26" s="10" t="s">
        <v>55</v>
      </c>
      <c r="L26" s="1">
        <f>SUM(L27:L27)</f>
        <v>0.72239999999999993</v>
      </c>
      <c r="M26" s="37" t="s">
        <v>55</v>
      </c>
      <c r="AI26" s="10" t="s">
        <v>55</v>
      </c>
      <c r="AS26" s="1">
        <f>SUM(AJ27:AJ27)</f>
        <v>0</v>
      </c>
      <c r="AT26" s="1">
        <f>SUM(AK27:AK27)</f>
        <v>0</v>
      </c>
      <c r="AU26" s="1">
        <f>SUM(AL27:AL27)</f>
        <v>0</v>
      </c>
    </row>
    <row r="27" spans="1:76" x14ac:dyDescent="0.25">
      <c r="A27" s="2" t="s">
        <v>100</v>
      </c>
      <c r="B27" s="3" t="s">
        <v>101</v>
      </c>
      <c r="C27" s="80" t="s">
        <v>102</v>
      </c>
      <c r="D27" s="73"/>
      <c r="E27" s="3" t="s">
        <v>103</v>
      </c>
      <c r="F27" s="27">
        <v>20</v>
      </c>
      <c r="G27" s="67">
        <v>0</v>
      </c>
      <c r="H27" s="27">
        <f>ROUND(F27*AO27,2)</f>
        <v>0</v>
      </c>
      <c r="I27" s="27">
        <f>ROUND(F27*AP27,2)</f>
        <v>0</v>
      </c>
      <c r="J27" s="27">
        <f>ROUND(F27*G27,2)</f>
        <v>0</v>
      </c>
      <c r="K27" s="27">
        <v>3.6119999999999999E-2</v>
      </c>
      <c r="L27" s="27">
        <f>F27*K27</f>
        <v>0.72239999999999993</v>
      </c>
      <c r="M27" s="28" t="s">
        <v>62</v>
      </c>
      <c r="Z27" s="27">
        <f>ROUND(IF(AQ27="5",BJ27,0),2)</f>
        <v>0</v>
      </c>
      <c r="AB27" s="27">
        <f>ROUND(IF(AQ27="1",BH27,0),2)</f>
        <v>0</v>
      </c>
      <c r="AC27" s="27">
        <f>ROUND(IF(AQ27="1",BI27,0),2)</f>
        <v>0</v>
      </c>
      <c r="AD27" s="27">
        <f>ROUND(IF(AQ27="7",BH27,0),2)</f>
        <v>0</v>
      </c>
      <c r="AE27" s="27">
        <f>ROUND(IF(AQ27="7",BI27,0),2)</f>
        <v>0</v>
      </c>
      <c r="AF27" s="27">
        <f>ROUND(IF(AQ27="2",BH27,0),2)</f>
        <v>0</v>
      </c>
      <c r="AG27" s="27">
        <f>ROUND(IF(AQ27="2",BI27,0),2)</f>
        <v>0</v>
      </c>
      <c r="AH27" s="27">
        <f>ROUND(IF(AQ27="0",BJ27,0),2)</f>
        <v>0</v>
      </c>
      <c r="AI27" s="10" t="s">
        <v>55</v>
      </c>
      <c r="AJ27" s="27">
        <f>IF(AN27=0,J27,0)</f>
        <v>0</v>
      </c>
      <c r="AK27" s="27">
        <f>IF(AN27=12,J27,0)</f>
        <v>0</v>
      </c>
      <c r="AL27" s="27">
        <f>IF(AN27=21,J27,0)</f>
        <v>0</v>
      </c>
      <c r="AN27" s="27">
        <v>21</v>
      </c>
      <c r="AO27" s="27">
        <f>G27*0.330102871</f>
        <v>0</v>
      </c>
      <c r="AP27" s="27">
        <f>G27*(1-0.330102871)</f>
        <v>0</v>
      </c>
      <c r="AQ27" s="29" t="s">
        <v>58</v>
      </c>
      <c r="AV27" s="27">
        <f>ROUND(AW27+AX27,2)</f>
        <v>0</v>
      </c>
      <c r="AW27" s="27">
        <f>ROUND(F27*AO27,2)</f>
        <v>0</v>
      </c>
      <c r="AX27" s="27">
        <f>ROUND(F27*AP27,2)</f>
        <v>0</v>
      </c>
      <c r="AY27" s="29" t="s">
        <v>104</v>
      </c>
      <c r="AZ27" s="29" t="s">
        <v>105</v>
      </c>
      <c r="BA27" s="10" t="s">
        <v>65</v>
      </c>
      <c r="BC27" s="27">
        <f>AW27+AX27</f>
        <v>0</v>
      </c>
      <c r="BD27" s="27">
        <f>G27/(100-BE27)*100</f>
        <v>0</v>
      </c>
      <c r="BE27" s="27">
        <v>0</v>
      </c>
      <c r="BF27" s="27">
        <f>L27</f>
        <v>0.72239999999999993</v>
      </c>
      <c r="BH27" s="27">
        <f>F27*AO27</f>
        <v>0</v>
      </c>
      <c r="BI27" s="27">
        <f>F27*AP27</f>
        <v>0</v>
      </c>
      <c r="BJ27" s="27">
        <f>F27*G27</f>
        <v>0</v>
      </c>
      <c r="BK27" s="29" t="s">
        <v>66</v>
      </c>
      <c r="BL27" s="27">
        <v>61</v>
      </c>
      <c r="BW27" s="27">
        <v>21</v>
      </c>
      <c r="BX27" s="4" t="s">
        <v>102</v>
      </c>
    </row>
    <row r="28" spans="1:76" ht="13.5" customHeight="1" x14ac:dyDescent="0.25">
      <c r="A28" s="30"/>
      <c r="C28" s="135" t="s">
        <v>106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7"/>
    </row>
    <row r="29" spans="1:76" x14ac:dyDescent="0.25">
      <c r="A29" s="30"/>
      <c r="C29" s="31" t="s">
        <v>107</v>
      </c>
      <c r="D29" s="31" t="s">
        <v>79</v>
      </c>
      <c r="F29" s="32">
        <v>20</v>
      </c>
      <c r="M29" s="33"/>
    </row>
    <row r="30" spans="1:76" x14ac:dyDescent="0.25">
      <c r="A30" s="34" t="s">
        <v>55</v>
      </c>
      <c r="B30" s="35" t="s">
        <v>108</v>
      </c>
      <c r="C30" s="133" t="s">
        <v>109</v>
      </c>
      <c r="D30" s="134"/>
      <c r="E30" s="36" t="s">
        <v>4</v>
      </c>
      <c r="F30" s="36" t="s">
        <v>4</v>
      </c>
      <c r="G30" s="36" t="s">
        <v>4</v>
      </c>
      <c r="H30" s="1">
        <f>ROUND(SUM(H31:H39),2)</f>
        <v>0</v>
      </c>
      <c r="I30" s="1">
        <f>ROUND(SUM(I31:I39),2)</f>
        <v>0</v>
      </c>
      <c r="J30" s="1">
        <f>ROUND(SUM(J31:J39),2)</f>
        <v>0</v>
      </c>
      <c r="K30" s="10" t="s">
        <v>55</v>
      </c>
      <c r="L30" s="1">
        <f>SUM(L31:L39)</f>
        <v>3.9333934900000003</v>
      </c>
      <c r="M30" s="37" t="s">
        <v>55</v>
      </c>
      <c r="AI30" s="10" t="s">
        <v>55</v>
      </c>
      <c r="AS30" s="1">
        <f>SUM(AJ31:AJ39)</f>
        <v>0</v>
      </c>
      <c r="AT30" s="1">
        <f>SUM(AK31:AK39)</f>
        <v>0</v>
      </c>
      <c r="AU30" s="1">
        <f>SUM(AL31:AL39)</f>
        <v>0</v>
      </c>
    </row>
    <row r="31" spans="1:76" x14ac:dyDescent="0.25">
      <c r="A31" s="2" t="s">
        <v>110</v>
      </c>
      <c r="B31" s="3" t="s">
        <v>111</v>
      </c>
      <c r="C31" s="80" t="s">
        <v>112</v>
      </c>
      <c r="D31" s="73"/>
      <c r="E31" s="3" t="s">
        <v>113</v>
      </c>
      <c r="F31" s="27">
        <v>5.94</v>
      </c>
      <c r="G31" s="67">
        <v>0</v>
      </c>
      <c r="H31" s="27">
        <f>ROUND(F31*AO31,2)</f>
        <v>0</v>
      </c>
      <c r="I31" s="27">
        <f>ROUND(F31*AP31,2)</f>
        <v>0</v>
      </c>
      <c r="J31" s="27">
        <f>ROUND(F31*G31,2)</f>
        <v>0</v>
      </c>
      <c r="K31" s="27">
        <v>0.30802000000000002</v>
      </c>
      <c r="L31" s="27">
        <f>F31*K31</f>
        <v>1.8296388000000001</v>
      </c>
      <c r="M31" s="28" t="s">
        <v>62</v>
      </c>
      <c r="Z31" s="27">
        <f>ROUND(IF(AQ31="5",BJ31,0),2)</f>
        <v>0</v>
      </c>
      <c r="AB31" s="27">
        <f>ROUND(IF(AQ31="1",BH31,0),2)</f>
        <v>0</v>
      </c>
      <c r="AC31" s="27">
        <f>ROUND(IF(AQ31="1",BI31,0),2)</f>
        <v>0</v>
      </c>
      <c r="AD31" s="27">
        <f>ROUND(IF(AQ31="7",BH31,0),2)</f>
        <v>0</v>
      </c>
      <c r="AE31" s="27">
        <f>ROUND(IF(AQ31="7",BI31,0),2)</f>
        <v>0</v>
      </c>
      <c r="AF31" s="27">
        <f>ROUND(IF(AQ31="2",BH31,0),2)</f>
        <v>0</v>
      </c>
      <c r="AG31" s="27">
        <f>ROUND(IF(AQ31="2",BI31,0),2)</f>
        <v>0</v>
      </c>
      <c r="AH31" s="27">
        <f>ROUND(IF(AQ31="0",BJ31,0),2)</f>
        <v>0</v>
      </c>
      <c r="AI31" s="10" t="s">
        <v>55</v>
      </c>
      <c r="AJ31" s="27">
        <f>IF(AN31=0,J31,0)</f>
        <v>0</v>
      </c>
      <c r="AK31" s="27">
        <f>IF(AN31=12,J31,0)</f>
        <v>0</v>
      </c>
      <c r="AL31" s="27">
        <f>IF(AN31=21,J31,0)</f>
        <v>0</v>
      </c>
      <c r="AN31" s="27">
        <v>21</v>
      </c>
      <c r="AO31" s="27">
        <f>G31*0.571147349</f>
        <v>0</v>
      </c>
      <c r="AP31" s="27">
        <f>G31*(1-0.571147349)</f>
        <v>0</v>
      </c>
      <c r="AQ31" s="29" t="s">
        <v>58</v>
      </c>
      <c r="AV31" s="27">
        <f>ROUND(AW31+AX31,2)</f>
        <v>0</v>
      </c>
      <c r="AW31" s="27">
        <f>ROUND(F31*AO31,2)</f>
        <v>0</v>
      </c>
      <c r="AX31" s="27">
        <f>ROUND(F31*AP31,2)</f>
        <v>0</v>
      </c>
      <c r="AY31" s="29" t="s">
        <v>114</v>
      </c>
      <c r="AZ31" s="29" t="s">
        <v>105</v>
      </c>
      <c r="BA31" s="10" t="s">
        <v>65</v>
      </c>
      <c r="BC31" s="27">
        <f>AW31+AX31</f>
        <v>0</v>
      </c>
      <c r="BD31" s="27">
        <f>G31/(100-BE31)*100</f>
        <v>0</v>
      </c>
      <c r="BE31" s="27">
        <v>0</v>
      </c>
      <c r="BF31" s="27">
        <f>L31</f>
        <v>1.8296388000000001</v>
      </c>
      <c r="BH31" s="27">
        <f>F31*AO31</f>
        <v>0</v>
      </c>
      <c r="BI31" s="27">
        <f>F31*AP31</f>
        <v>0</v>
      </c>
      <c r="BJ31" s="27">
        <f>F31*G31</f>
        <v>0</v>
      </c>
      <c r="BK31" s="29" t="s">
        <v>66</v>
      </c>
      <c r="BL31" s="27">
        <v>63</v>
      </c>
      <c r="BW31" s="27">
        <v>21</v>
      </c>
      <c r="BX31" s="4" t="s">
        <v>112</v>
      </c>
    </row>
    <row r="32" spans="1:76" x14ac:dyDescent="0.25">
      <c r="A32" s="30"/>
      <c r="C32" s="31" t="s">
        <v>115</v>
      </c>
      <c r="D32" s="31" t="s">
        <v>116</v>
      </c>
      <c r="F32" s="32">
        <v>5.94</v>
      </c>
      <c r="M32" s="33"/>
    </row>
    <row r="33" spans="1:76" x14ac:dyDescent="0.25">
      <c r="A33" s="2" t="s">
        <v>117</v>
      </c>
      <c r="B33" s="3" t="s">
        <v>118</v>
      </c>
      <c r="C33" s="80" t="s">
        <v>119</v>
      </c>
      <c r="D33" s="73"/>
      <c r="E33" s="3" t="s">
        <v>120</v>
      </c>
      <c r="F33" s="27">
        <v>0.221</v>
      </c>
      <c r="G33" s="67">
        <v>0</v>
      </c>
      <c r="H33" s="27">
        <f>ROUND(F33*AO33,2)</f>
        <v>0</v>
      </c>
      <c r="I33" s="27">
        <f>ROUND(F33*AP33,2)</f>
        <v>0</v>
      </c>
      <c r="J33" s="27">
        <f>ROUND(F33*G33,2)</f>
        <v>0</v>
      </c>
      <c r="K33" s="27">
        <v>1.0730900000000001</v>
      </c>
      <c r="L33" s="27">
        <f>F33*K33</f>
        <v>0.23715289000000003</v>
      </c>
      <c r="M33" s="28" t="s">
        <v>62</v>
      </c>
      <c r="Z33" s="27">
        <f>ROUND(IF(AQ33="5",BJ33,0),2)</f>
        <v>0</v>
      </c>
      <c r="AB33" s="27">
        <f>ROUND(IF(AQ33="1",BH33,0),2)</f>
        <v>0</v>
      </c>
      <c r="AC33" s="27">
        <f>ROUND(IF(AQ33="1",BI33,0),2)</f>
        <v>0</v>
      </c>
      <c r="AD33" s="27">
        <f>ROUND(IF(AQ33="7",BH33,0),2)</f>
        <v>0</v>
      </c>
      <c r="AE33" s="27">
        <f>ROUND(IF(AQ33="7",BI33,0),2)</f>
        <v>0</v>
      </c>
      <c r="AF33" s="27">
        <f>ROUND(IF(AQ33="2",BH33,0),2)</f>
        <v>0</v>
      </c>
      <c r="AG33" s="27">
        <f>ROUND(IF(AQ33="2",BI33,0),2)</f>
        <v>0</v>
      </c>
      <c r="AH33" s="27">
        <f>ROUND(IF(AQ33="0",BJ33,0),2)</f>
        <v>0</v>
      </c>
      <c r="AI33" s="10" t="s">
        <v>55</v>
      </c>
      <c r="AJ33" s="27">
        <f>IF(AN33=0,J33,0)</f>
        <v>0</v>
      </c>
      <c r="AK33" s="27">
        <f>IF(AN33=12,J33,0)</f>
        <v>0</v>
      </c>
      <c r="AL33" s="27">
        <f>IF(AN33=21,J33,0)</f>
        <v>0</v>
      </c>
      <c r="AN33" s="27">
        <v>21</v>
      </c>
      <c r="AO33" s="27">
        <f>G33*0.757944835</f>
        <v>0</v>
      </c>
      <c r="AP33" s="27">
        <f>G33*(1-0.757944835)</f>
        <v>0</v>
      </c>
      <c r="AQ33" s="29" t="s">
        <v>58</v>
      </c>
      <c r="AV33" s="27">
        <f>ROUND(AW33+AX33,2)</f>
        <v>0</v>
      </c>
      <c r="AW33" s="27">
        <f>ROUND(F33*AO33,2)</f>
        <v>0</v>
      </c>
      <c r="AX33" s="27">
        <f>ROUND(F33*AP33,2)</f>
        <v>0</v>
      </c>
      <c r="AY33" s="29" t="s">
        <v>114</v>
      </c>
      <c r="AZ33" s="29" t="s">
        <v>105</v>
      </c>
      <c r="BA33" s="10" t="s">
        <v>65</v>
      </c>
      <c r="BC33" s="27">
        <f>AW33+AX33</f>
        <v>0</v>
      </c>
      <c r="BD33" s="27">
        <f>G33/(100-BE33)*100</f>
        <v>0</v>
      </c>
      <c r="BE33" s="27">
        <v>0</v>
      </c>
      <c r="BF33" s="27">
        <f>L33</f>
        <v>0.23715289000000003</v>
      </c>
      <c r="BH33" s="27">
        <f>F33*AO33</f>
        <v>0</v>
      </c>
      <c r="BI33" s="27">
        <f>F33*AP33</f>
        <v>0</v>
      </c>
      <c r="BJ33" s="27">
        <f>F33*G33</f>
        <v>0</v>
      </c>
      <c r="BK33" s="29" t="s">
        <v>66</v>
      </c>
      <c r="BL33" s="27">
        <v>63</v>
      </c>
      <c r="BW33" s="27">
        <v>21</v>
      </c>
      <c r="BX33" s="4" t="s">
        <v>119</v>
      </c>
    </row>
    <row r="34" spans="1:76" ht="13.5" customHeight="1" x14ac:dyDescent="0.25">
      <c r="A34" s="30"/>
      <c r="C34" s="135" t="s">
        <v>121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7"/>
    </row>
    <row r="35" spans="1:76" x14ac:dyDescent="0.25">
      <c r="A35" s="30"/>
      <c r="C35" s="31" t="s">
        <v>122</v>
      </c>
      <c r="D35" s="31" t="s">
        <v>55</v>
      </c>
      <c r="F35" s="32">
        <v>0.221</v>
      </c>
      <c r="M35" s="33"/>
    </row>
    <row r="36" spans="1:76" x14ac:dyDescent="0.25">
      <c r="A36" s="2" t="s">
        <v>123</v>
      </c>
      <c r="B36" s="3" t="s">
        <v>124</v>
      </c>
      <c r="C36" s="80" t="s">
        <v>125</v>
      </c>
      <c r="D36" s="73"/>
      <c r="E36" s="3" t="s">
        <v>113</v>
      </c>
      <c r="F36" s="27">
        <v>0.72</v>
      </c>
      <c r="G36" s="67">
        <v>0</v>
      </c>
      <c r="H36" s="27">
        <f>ROUND(F36*AO36,2)</f>
        <v>0</v>
      </c>
      <c r="I36" s="27">
        <f>ROUND(F36*AP36,2)</f>
        <v>0</v>
      </c>
      <c r="J36" s="27">
        <f>ROUND(F36*G36,2)</f>
        <v>0</v>
      </c>
      <c r="K36" s="27">
        <v>2.5249999999999999</v>
      </c>
      <c r="L36" s="27">
        <f>F36*K36</f>
        <v>1.8179999999999998</v>
      </c>
      <c r="M36" s="28" t="s">
        <v>62</v>
      </c>
      <c r="Z36" s="27">
        <f>ROUND(IF(AQ36="5",BJ36,0),2)</f>
        <v>0</v>
      </c>
      <c r="AB36" s="27">
        <f>ROUND(IF(AQ36="1",BH36,0),2)</f>
        <v>0</v>
      </c>
      <c r="AC36" s="27">
        <f>ROUND(IF(AQ36="1",BI36,0),2)</f>
        <v>0</v>
      </c>
      <c r="AD36" s="27">
        <f>ROUND(IF(AQ36="7",BH36,0),2)</f>
        <v>0</v>
      </c>
      <c r="AE36" s="27">
        <f>ROUND(IF(AQ36="7",BI36,0),2)</f>
        <v>0</v>
      </c>
      <c r="AF36" s="27">
        <f>ROUND(IF(AQ36="2",BH36,0),2)</f>
        <v>0</v>
      </c>
      <c r="AG36" s="27">
        <f>ROUND(IF(AQ36="2",BI36,0),2)</f>
        <v>0</v>
      </c>
      <c r="AH36" s="27">
        <f>ROUND(IF(AQ36="0",BJ36,0),2)</f>
        <v>0</v>
      </c>
      <c r="AI36" s="10" t="s">
        <v>55</v>
      </c>
      <c r="AJ36" s="27">
        <f>IF(AN36=0,J36,0)</f>
        <v>0</v>
      </c>
      <c r="AK36" s="27">
        <f>IF(AN36=12,J36,0)</f>
        <v>0</v>
      </c>
      <c r="AL36" s="27">
        <f>IF(AN36=21,J36,0)</f>
        <v>0</v>
      </c>
      <c r="AN36" s="27">
        <v>21</v>
      </c>
      <c r="AO36" s="27">
        <f>G36*0.757812808</f>
        <v>0</v>
      </c>
      <c r="AP36" s="27">
        <f>G36*(1-0.757812808)</f>
        <v>0</v>
      </c>
      <c r="AQ36" s="29" t="s">
        <v>58</v>
      </c>
      <c r="AV36" s="27">
        <f>ROUND(AW36+AX36,2)</f>
        <v>0</v>
      </c>
      <c r="AW36" s="27">
        <f>ROUND(F36*AO36,2)</f>
        <v>0</v>
      </c>
      <c r="AX36" s="27">
        <f>ROUND(F36*AP36,2)</f>
        <v>0</v>
      </c>
      <c r="AY36" s="29" t="s">
        <v>114</v>
      </c>
      <c r="AZ36" s="29" t="s">
        <v>105</v>
      </c>
      <c r="BA36" s="10" t="s">
        <v>65</v>
      </c>
      <c r="BC36" s="27">
        <f>AW36+AX36</f>
        <v>0</v>
      </c>
      <c r="BD36" s="27">
        <f>G36/(100-BE36)*100</f>
        <v>0</v>
      </c>
      <c r="BE36" s="27">
        <v>0</v>
      </c>
      <c r="BF36" s="27">
        <f>L36</f>
        <v>1.8179999999999998</v>
      </c>
      <c r="BH36" s="27">
        <f>F36*AO36</f>
        <v>0</v>
      </c>
      <c r="BI36" s="27">
        <f>F36*AP36</f>
        <v>0</v>
      </c>
      <c r="BJ36" s="27">
        <f>F36*G36</f>
        <v>0</v>
      </c>
      <c r="BK36" s="29" t="s">
        <v>66</v>
      </c>
      <c r="BL36" s="27">
        <v>63</v>
      </c>
      <c r="BW36" s="27">
        <v>21</v>
      </c>
      <c r="BX36" s="4" t="s">
        <v>125</v>
      </c>
    </row>
    <row r="37" spans="1:76" x14ac:dyDescent="0.25">
      <c r="A37" s="30"/>
      <c r="C37" s="31" t="s">
        <v>126</v>
      </c>
      <c r="D37" s="31" t="s">
        <v>127</v>
      </c>
      <c r="F37" s="32">
        <v>0.216</v>
      </c>
      <c r="M37" s="33"/>
    </row>
    <row r="38" spans="1:76" x14ac:dyDescent="0.25">
      <c r="A38" s="30"/>
      <c r="C38" s="31" t="s">
        <v>128</v>
      </c>
      <c r="D38" s="31" t="s">
        <v>129</v>
      </c>
      <c r="F38" s="32">
        <v>0.504</v>
      </c>
      <c r="M38" s="33"/>
    </row>
    <row r="39" spans="1:76" x14ac:dyDescent="0.25">
      <c r="A39" s="2" t="s">
        <v>130</v>
      </c>
      <c r="B39" s="3" t="s">
        <v>131</v>
      </c>
      <c r="C39" s="80" t="s">
        <v>119</v>
      </c>
      <c r="D39" s="73"/>
      <c r="E39" s="3" t="s">
        <v>120</v>
      </c>
      <c r="F39" s="27">
        <v>4.4999999999999998E-2</v>
      </c>
      <c r="G39" s="67">
        <v>0</v>
      </c>
      <c r="H39" s="27">
        <f>ROUND(F39*AO39,2)</f>
        <v>0</v>
      </c>
      <c r="I39" s="27">
        <f>ROUND(F39*AP39,2)</f>
        <v>0</v>
      </c>
      <c r="J39" s="27">
        <f>ROUND(F39*G39,2)</f>
        <v>0</v>
      </c>
      <c r="K39" s="27">
        <v>1.0800399999999999</v>
      </c>
      <c r="L39" s="27">
        <f>F39*K39</f>
        <v>4.8601799999999994E-2</v>
      </c>
      <c r="M39" s="28" t="s">
        <v>62</v>
      </c>
      <c r="Z39" s="27">
        <f>ROUND(IF(AQ39="5",BJ39,0),2)</f>
        <v>0</v>
      </c>
      <c r="AB39" s="27">
        <f>ROUND(IF(AQ39="1",BH39,0),2)</f>
        <v>0</v>
      </c>
      <c r="AC39" s="27">
        <f>ROUND(IF(AQ39="1",BI39,0),2)</f>
        <v>0</v>
      </c>
      <c r="AD39" s="27">
        <f>ROUND(IF(AQ39="7",BH39,0),2)</f>
        <v>0</v>
      </c>
      <c r="AE39" s="27">
        <f>ROUND(IF(AQ39="7",BI39,0),2)</f>
        <v>0</v>
      </c>
      <c r="AF39" s="27">
        <f>ROUND(IF(AQ39="2",BH39,0),2)</f>
        <v>0</v>
      </c>
      <c r="AG39" s="27">
        <f>ROUND(IF(AQ39="2",BI39,0),2)</f>
        <v>0</v>
      </c>
      <c r="AH39" s="27">
        <f>ROUND(IF(AQ39="0",BJ39,0),2)</f>
        <v>0</v>
      </c>
      <c r="AI39" s="10" t="s">
        <v>55</v>
      </c>
      <c r="AJ39" s="27">
        <f>IF(AN39=0,J39,0)</f>
        <v>0</v>
      </c>
      <c r="AK39" s="27">
        <f>IF(AN39=12,J39,0)</f>
        <v>0</v>
      </c>
      <c r="AL39" s="27">
        <f>IF(AN39=21,J39,0)</f>
        <v>0</v>
      </c>
      <c r="AN39" s="27">
        <v>21</v>
      </c>
      <c r="AO39" s="27">
        <f>G39*0.757889844</f>
        <v>0</v>
      </c>
      <c r="AP39" s="27">
        <f>G39*(1-0.757889844)</f>
        <v>0</v>
      </c>
      <c r="AQ39" s="29" t="s">
        <v>58</v>
      </c>
      <c r="AV39" s="27">
        <f>ROUND(AW39+AX39,2)</f>
        <v>0</v>
      </c>
      <c r="AW39" s="27">
        <f>ROUND(F39*AO39,2)</f>
        <v>0</v>
      </c>
      <c r="AX39" s="27">
        <f>ROUND(F39*AP39,2)</f>
        <v>0</v>
      </c>
      <c r="AY39" s="29" t="s">
        <v>114</v>
      </c>
      <c r="AZ39" s="29" t="s">
        <v>105</v>
      </c>
      <c r="BA39" s="10" t="s">
        <v>65</v>
      </c>
      <c r="BC39" s="27">
        <f>AW39+AX39</f>
        <v>0</v>
      </c>
      <c r="BD39" s="27">
        <f>G39/(100-BE39)*100</f>
        <v>0</v>
      </c>
      <c r="BE39" s="27">
        <v>0</v>
      </c>
      <c r="BF39" s="27">
        <f>L39</f>
        <v>4.8601799999999994E-2</v>
      </c>
      <c r="BH39" s="27">
        <f>F39*AO39</f>
        <v>0</v>
      </c>
      <c r="BI39" s="27">
        <f>F39*AP39</f>
        <v>0</v>
      </c>
      <c r="BJ39" s="27">
        <f>F39*G39</f>
        <v>0</v>
      </c>
      <c r="BK39" s="29" t="s">
        <v>66</v>
      </c>
      <c r="BL39" s="27">
        <v>63</v>
      </c>
      <c r="BW39" s="27">
        <v>21</v>
      </c>
      <c r="BX39" s="4" t="s">
        <v>119</v>
      </c>
    </row>
    <row r="40" spans="1:76" ht="13.5" customHeight="1" x14ac:dyDescent="0.25">
      <c r="A40" s="30"/>
      <c r="C40" s="135" t="s">
        <v>132</v>
      </c>
      <c r="D40" s="136"/>
      <c r="E40" s="136"/>
      <c r="F40" s="136"/>
      <c r="G40" s="136"/>
      <c r="H40" s="136"/>
      <c r="I40" s="136"/>
      <c r="J40" s="136"/>
      <c r="K40" s="136"/>
      <c r="L40" s="136"/>
      <c r="M40" s="137"/>
    </row>
    <row r="41" spans="1:76" x14ac:dyDescent="0.25">
      <c r="A41" s="30"/>
      <c r="C41" s="31" t="s">
        <v>133</v>
      </c>
      <c r="D41" s="31" t="s">
        <v>127</v>
      </c>
      <c r="F41" s="32">
        <v>8.9999999999999993E-3</v>
      </c>
      <c r="M41" s="33"/>
    </row>
    <row r="42" spans="1:76" x14ac:dyDescent="0.25">
      <c r="A42" s="30"/>
      <c r="C42" s="31" t="s">
        <v>134</v>
      </c>
      <c r="D42" s="31" t="s">
        <v>129</v>
      </c>
      <c r="F42" s="32">
        <v>3.5999999999999997E-2</v>
      </c>
      <c r="M42" s="33"/>
    </row>
    <row r="43" spans="1:76" x14ac:dyDescent="0.25">
      <c r="A43" s="34" t="s">
        <v>55</v>
      </c>
      <c r="B43" s="35" t="s">
        <v>135</v>
      </c>
      <c r="C43" s="133" t="s">
        <v>136</v>
      </c>
      <c r="D43" s="134"/>
      <c r="E43" s="36" t="s">
        <v>4</v>
      </c>
      <c r="F43" s="36" t="s">
        <v>4</v>
      </c>
      <c r="G43" s="36" t="s">
        <v>4</v>
      </c>
      <c r="H43" s="1">
        <f>ROUND(SUM(H44:H44),2)</f>
        <v>0</v>
      </c>
      <c r="I43" s="1">
        <f>ROUND(SUM(I44:I44),2)</f>
        <v>0</v>
      </c>
      <c r="J43" s="1">
        <f>ROUND(SUM(J44:J44),2)</f>
        <v>0</v>
      </c>
      <c r="K43" s="10" t="s">
        <v>55</v>
      </c>
      <c r="L43" s="1">
        <f>SUM(L44:L44)</f>
        <v>1.2800000000000002E-4</v>
      </c>
      <c r="M43" s="37" t="s">
        <v>55</v>
      </c>
      <c r="AI43" s="10" t="s">
        <v>55</v>
      </c>
      <c r="AS43" s="1">
        <f>SUM(AJ44:AJ44)</f>
        <v>0</v>
      </c>
      <c r="AT43" s="1">
        <f>SUM(AK44:AK44)</f>
        <v>0</v>
      </c>
      <c r="AU43" s="1">
        <f>SUM(AL44:AL44)</f>
        <v>0</v>
      </c>
    </row>
    <row r="44" spans="1:76" x14ac:dyDescent="0.25">
      <c r="A44" s="2" t="s">
        <v>137</v>
      </c>
      <c r="B44" s="3" t="s">
        <v>138</v>
      </c>
      <c r="C44" s="80" t="s">
        <v>139</v>
      </c>
      <c r="D44" s="73"/>
      <c r="E44" s="3" t="s">
        <v>140</v>
      </c>
      <c r="F44" s="27">
        <v>12.8</v>
      </c>
      <c r="G44" s="67">
        <v>0</v>
      </c>
      <c r="H44" s="27">
        <f>ROUND(F44*AO44,2)</f>
        <v>0</v>
      </c>
      <c r="I44" s="27">
        <f>ROUND(F44*AP44,2)</f>
        <v>0</v>
      </c>
      <c r="J44" s="27">
        <f>ROUND(F44*G44,2)</f>
        <v>0</v>
      </c>
      <c r="K44" s="27">
        <v>1.0000000000000001E-5</v>
      </c>
      <c r="L44" s="27">
        <f>F44*K44</f>
        <v>1.2800000000000002E-4</v>
      </c>
      <c r="M44" s="28" t="s">
        <v>62</v>
      </c>
      <c r="Z44" s="27">
        <f>ROUND(IF(AQ44="5",BJ44,0),2)</f>
        <v>0</v>
      </c>
      <c r="AB44" s="27">
        <f>ROUND(IF(AQ44="1",BH44,0),2)</f>
        <v>0</v>
      </c>
      <c r="AC44" s="27">
        <f>ROUND(IF(AQ44="1",BI44,0),2)</f>
        <v>0</v>
      </c>
      <c r="AD44" s="27">
        <f>ROUND(IF(AQ44="7",BH44,0),2)</f>
        <v>0</v>
      </c>
      <c r="AE44" s="27">
        <f>ROUND(IF(AQ44="7",BI44,0),2)</f>
        <v>0</v>
      </c>
      <c r="AF44" s="27">
        <f>ROUND(IF(AQ44="2",BH44,0),2)</f>
        <v>0</v>
      </c>
      <c r="AG44" s="27">
        <f>ROUND(IF(AQ44="2",BI44,0),2)</f>
        <v>0</v>
      </c>
      <c r="AH44" s="27">
        <f>ROUND(IF(AQ44="0",BJ44,0),2)</f>
        <v>0</v>
      </c>
      <c r="AI44" s="10" t="s">
        <v>55</v>
      </c>
      <c r="AJ44" s="27">
        <f>IF(AN44=0,J44,0)</f>
        <v>0</v>
      </c>
      <c r="AK44" s="27">
        <f>IF(AN44=12,J44,0)</f>
        <v>0</v>
      </c>
      <c r="AL44" s="27">
        <f>IF(AN44=21,J44,0)</f>
        <v>0</v>
      </c>
      <c r="AN44" s="27">
        <v>21</v>
      </c>
      <c r="AO44" s="27">
        <f>G44*0.516579279</f>
        <v>0</v>
      </c>
      <c r="AP44" s="27">
        <f>G44*(1-0.516579279)</f>
        <v>0</v>
      </c>
      <c r="AQ44" s="29" t="s">
        <v>58</v>
      </c>
      <c r="AV44" s="27">
        <f>ROUND(AW44+AX44,2)</f>
        <v>0</v>
      </c>
      <c r="AW44" s="27">
        <f>ROUND(F44*AO44,2)</f>
        <v>0</v>
      </c>
      <c r="AX44" s="27">
        <f>ROUND(F44*AP44,2)</f>
        <v>0</v>
      </c>
      <c r="AY44" s="29" t="s">
        <v>141</v>
      </c>
      <c r="AZ44" s="29" t="s">
        <v>142</v>
      </c>
      <c r="BA44" s="10" t="s">
        <v>65</v>
      </c>
      <c r="BC44" s="27">
        <f>AW44+AX44</f>
        <v>0</v>
      </c>
      <c r="BD44" s="27">
        <f>G44/(100-BE44)*100</f>
        <v>0</v>
      </c>
      <c r="BE44" s="27">
        <v>0</v>
      </c>
      <c r="BF44" s="27">
        <f>L44</f>
        <v>1.2800000000000002E-4</v>
      </c>
      <c r="BH44" s="27">
        <f>F44*AO44</f>
        <v>0</v>
      </c>
      <c r="BI44" s="27">
        <f>F44*AP44</f>
        <v>0</v>
      </c>
      <c r="BJ44" s="27">
        <f>F44*G44</f>
        <v>0</v>
      </c>
      <c r="BK44" s="29" t="s">
        <v>66</v>
      </c>
      <c r="BL44" s="27">
        <v>91</v>
      </c>
      <c r="BW44" s="27">
        <v>21</v>
      </c>
      <c r="BX44" s="4" t="s">
        <v>139</v>
      </c>
    </row>
    <row r="45" spans="1:76" x14ac:dyDescent="0.25">
      <c r="A45" s="30"/>
      <c r="C45" s="31" t="s">
        <v>143</v>
      </c>
      <c r="D45" s="31" t="s">
        <v>144</v>
      </c>
      <c r="F45" s="32">
        <v>4.8</v>
      </c>
      <c r="M45" s="33"/>
    </row>
    <row r="46" spans="1:76" x14ac:dyDescent="0.25">
      <c r="A46" s="30"/>
      <c r="C46" s="31" t="s">
        <v>145</v>
      </c>
      <c r="D46" s="31" t="s">
        <v>146</v>
      </c>
      <c r="F46" s="32">
        <v>8</v>
      </c>
      <c r="M46" s="33"/>
    </row>
    <row r="47" spans="1:76" x14ac:dyDescent="0.25">
      <c r="A47" s="34" t="s">
        <v>55</v>
      </c>
      <c r="B47" s="35" t="s">
        <v>147</v>
      </c>
      <c r="C47" s="133" t="s">
        <v>148</v>
      </c>
      <c r="D47" s="134"/>
      <c r="E47" s="36" t="s">
        <v>4</v>
      </c>
      <c r="F47" s="36" t="s">
        <v>4</v>
      </c>
      <c r="G47" s="36" t="s">
        <v>4</v>
      </c>
      <c r="H47" s="1">
        <f>ROUND(SUM(H48:H48),2)</f>
        <v>0</v>
      </c>
      <c r="I47" s="1">
        <f>ROUND(SUM(I48:I48),2)</f>
        <v>0</v>
      </c>
      <c r="J47" s="1">
        <f>ROUND(SUM(J48:J48),2)</f>
        <v>0</v>
      </c>
      <c r="K47" s="10" t="s">
        <v>55</v>
      </c>
      <c r="L47" s="1">
        <f>SUM(L48:L48)</f>
        <v>0.34236</v>
      </c>
      <c r="M47" s="37" t="s">
        <v>55</v>
      </c>
      <c r="AI47" s="10" t="s">
        <v>55</v>
      </c>
      <c r="AS47" s="1">
        <f>SUM(AJ48:AJ48)</f>
        <v>0</v>
      </c>
      <c r="AT47" s="1">
        <f>SUM(AK48:AK48)</f>
        <v>0</v>
      </c>
      <c r="AU47" s="1">
        <f>SUM(AL48:AL48)</f>
        <v>0</v>
      </c>
    </row>
    <row r="48" spans="1:76" x14ac:dyDescent="0.25">
      <c r="A48" s="2" t="s">
        <v>149</v>
      </c>
      <c r="B48" s="3" t="s">
        <v>150</v>
      </c>
      <c r="C48" s="80" t="s">
        <v>151</v>
      </c>
      <c r="D48" s="73"/>
      <c r="E48" s="3" t="s">
        <v>61</v>
      </c>
      <c r="F48" s="27">
        <v>54</v>
      </c>
      <c r="G48" s="67">
        <v>0</v>
      </c>
      <c r="H48" s="27">
        <f>ROUND(F48*AO48,2)</f>
        <v>0</v>
      </c>
      <c r="I48" s="27">
        <f>ROUND(F48*AP48,2)</f>
        <v>0</v>
      </c>
      <c r="J48" s="27">
        <f>ROUND(F48*G48,2)</f>
        <v>0</v>
      </c>
      <c r="K48" s="27">
        <v>6.3400000000000001E-3</v>
      </c>
      <c r="L48" s="27">
        <f>F48*K48</f>
        <v>0.34236</v>
      </c>
      <c r="M48" s="28" t="s">
        <v>62</v>
      </c>
      <c r="Z48" s="27">
        <f>ROUND(IF(AQ48="5",BJ48,0),2)</f>
        <v>0</v>
      </c>
      <c r="AB48" s="27">
        <f>ROUND(IF(AQ48="1",BH48,0),2)</f>
        <v>0</v>
      </c>
      <c r="AC48" s="27">
        <f>ROUND(IF(AQ48="1",BI48,0),2)</f>
        <v>0</v>
      </c>
      <c r="AD48" s="27">
        <f>ROUND(IF(AQ48="7",BH48,0),2)</f>
        <v>0</v>
      </c>
      <c r="AE48" s="27">
        <f>ROUND(IF(AQ48="7",BI48,0),2)</f>
        <v>0</v>
      </c>
      <c r="AF48" s="27">
        <f>ROUND(IF(AQ48="2",BH48,0),2)</f>
        <v>0</v>
      </c>
      <c r="AG48" s="27">
        <f>ROUND(IF(AQ48="2",BI48,0),2)</f>
        <v>0</v>
      </c>
      <c r="AH48" s="27">
        <f>ROUND(IF(AQ48="0",BJ48,0),2)</f>
        <v>0</v>
      </c>
      <c r="AI48" s="10" t="s">
        <v>55</v>
      </c>
      <c r="AJ48" s="27">
        <f>IF(AN48=0,J48,0)</f>
        <v>0</v>
      </c>
      <c r="AK48" s="27">
        <f>IF(AN48=12,J48,0)</f>
        <v>0</v>
      </c>
      <c r="AL48" s="27">
        <f>IF(AN48=21,J48,0)</f>
        <v>0</v>
      </c>
      <c r="AN48" s="27">
        <v>21</v>
      </c>
      <c r="AO48" s="27">
        <f>G48*0.363430003</f>
        <v>0</v>
      </c>
      <c r="AP48" s="27">
        <f>G48*(1-0.363430003)</f>
        <v>0</v>
      </c>
      <c r="AQ48" s="29" t="s">
        <v>58</v>
      </c>
      <c r="AV48" s="27">
        <f>ROUND(AW48+AX48,2)</f>
        <v>0</v>
      </c>
      <c r="AW48" s="27">
        <f>ROUND(F48*AO48,2)</f>
        <v>0</v>
      </c>
      <c r="AX48" s="27">
        <f>ROUND(F48*AP48,2)</f>
        <v>0</v>
      </c>
      <c r="AY48" s="29" t="s">
        <v>152</v>
      </c>
      <c r="AZ48" s="29" t="s">
        <v>142</v>
      </c>
      <c r="BA48" s="10" t="s">
        <v>65</v>
      </c>
      <c r="BC48" s="27">
        <f>AW48+AX48</f>
        <v>0</v>
      </c>
      <c r="BD48" s="27">
        <f>G48/(100-BE48)*100</f>
        <v>0</v>
      </c>
      <c r="BE48" s="27">
        <v>0</v>
      </c>
      <c r="BF48" s="27">
        <f>L48</f>
        <v>0.34236</v>
      </c>
      <c r="BH48" s="27">
        <f>F48*AO48</f>
        <v>0</v>
      </c>
      <c r="BI48" s="27">
        <f>F48*AP48</f>
        <v>0</v>
      </c>
      <c r="BJ48" s="27">
        <f>F48*G48</f>
        <v>0</v>
      </c>
      <c r="BK48" s="29" t="s">
        <v>66</v>
      </c>
      <c r="BL48" s="27">
        <v>94</v>
      </c>
      <c r="BW48" s="27">
        <v>21</v>
      </c>
      <c r="BX48" s="4" t="s">
        <v>151</v>
      </c>
    </row>
    <row r="49" spans="1:76" x14ac:dyDescent="0.25">
      <c r="A49" s="30"/>
      <c r="C49" s="31" t="s">
        <v>153</v>
      </c>
      <c r="D49" s="31" t="s">
        <v>154</v>
      </c>
      <c r="F49" s="32">
        <v>54</v>
      </c>
      <c r="M49" s="33"/>
    </row>
    <row r="50" spans="1:76" x14ac:dyDescent="0.25">
      <c r="A50" s="34" t="s">
        <v>55</v>
      </c>
      <c r="B50" s="35" t="s">
        <v>155</v>
      </c>
      <c r="C50" s="133" t="s">
        <v>156</v>
      </c>
      <c r="D50" s="134"/>
      <c r="E50" s="36" t="s">
        <v>4</v>
      </c>
      <c r="F50" s="36" t="s">
        <v>4</v>
      </c>
      <c r="G50" s="36" t="s">
        <v>4</v>
      </c>
      <c r="H50" s="1">
        <f>ROUND(SUM(H51:H53),2)</f>
        <v>0</v>
      </c>
      <c r="I50" s="1">
        <f>ROUND(SUM(I51:I53),2)</f>
        <v>0</v>
      </c>
      <c r="J50" s="1">
        <f>ROUND(SUM(J51:J53),2)</f>
        <v>0</v>
      </c>
      <c r="K50" s="10" t="s">
        <v>55</v>
      </c>
      <c r="L50" s="1">
        <f>SUM(L51:L53)</f>
        <v>0</v>
      </c>
      <c r="M50" s="37" t="s">
        <v>55</v>
      </c>
      <c r="AI50" s="10" t="s">
        <v>55</v>
      </c>
      <c r="AS50" s="1">
        <f>SUM(AJ51:AJ53)</f>
        <v>0</v>
      </c>
      <c r="AT50" s="1">
        <f>SUM(AK51:AK53)</f>
        <v>0</v>
      </c>
      <c r="AU50" s="1">
        <f>SUM(AL51:AL53)</f>
        <v>0</v>
      </c>
    </row>
    <row r="51" spans="1:76" x14ac:dyDescent="0.25">
      <c r="A51" s="2" t="s">
        <v>157</v>
      </c>
      <c r="B51" s="3" t="s">
        <v>158</v>
      </c>
      <c r="C51" s="80" t="s">
        <v>159</v>
      </c>
      <c r="D51" s="73"/>
      <c r="E51" s="3" t="s">
        <v>61</v>
      </c>
      <c r="F51" s="27">
        <v>377</v>
      </c>
      <c r="G51" s="67">
        <v>0</v>
      </c>
      <c r="H51" s="27">
        <f>ROUND(F51*AO51,2)</f>
        <v>0</v>
      </c>
      <c r="I51" s="27">
        <f>ROUND(F51*AP51,2)</f>
        <v>0</v>
      </c>
      <c r="J51" s="27">
        <f>ROUND(F51*G51,2)</f>
        <v>0</v>
      </c>
      <c r="K51" s="27">
        <v>0</v>
      </c>
      <c r="L51" s="27">
        <f>F51*K51</f>
        <v>0</v>
      </c>
      <c r="M51" s="28" t="s">
        <v>62</v>
      </c>
      <c r="Z51" s="27">
        <f>ROUND(IF(AQ51="5",BJ51,0),2)</f>
        <v>0</v>
      </c>
      <c r="AB51" s="27">
        <f>ROUND(IF(AQ51="1",BH51,0),2)</f>
        <v>0</v>
      </c>
      <c r="AC51" s="27">
        <f>ROUND(IF(AQ51="1",BI51,0),2)</f>
        <v>0</v>
      </c>
      <c r="AD51" s="27">
        <f>ROUND(IF(AQ51="7",BH51,0),2)</f>
        <v>0</v>
      </c>
      <c r="AE51" s="27">
        <f>ROUND(IF(AQ51="7",BI51,0),2)</f>
        <v>0</v>
      </c>
      <c r="AF51" s="27">
        <f>ROUND(IF(AQ51="2",BH51,0),2)</f>
        <v>0</v>
      </c>
      <c r="AG51" s="27">
        <f>ROUND(IF(AQ51="2",BI51,0),2)</f>
        <v>0</v>
      </c>
      <c r="AH51" s="27">
        <f>ROUND(IF(AQ51="0",BJ51,0),2)</f>
        <v>0</v>
      </c>
      <c r="AI51" s="10" t="s">
        <v>55</v>
      </c>
      <c r="AJ51" s="27">
        <f>IF(AN51=0,J51,0)</f>
        <v>0</v>
      </c>
      <c r="AK51" s="27">
        <f>IF(AN51=12,J51,0)</f>
        <v>0</v>
      </c>
      <c r="AL51" s="27">
        <f>IF(AN51=21,J51,0)</f>
        <v>0</v>
      </c>
      <c r="AN51" s="27">
        <v>21</v>
      </c>
      <c r="AO51" s="27">
        <f>G51*0.001522649</f>
        <v>0</v>
      </c>
      <c r="AP51" s="27">
        <f>G51*(1-0.001522649)</f>
        <v>0</v>
      </c>
      <c r="AQ51" s="29" t="s">
        <v>58</v>
      </c>
      <c r="AV51" s="27">
        <f>ROUND(AW51+AX51,2)</f>
        <v>0</v>
      </c>
      <c r="AW51" s="27">
        <f>ROUND(F51*AO51,2)</f>
        <v>0</v>
      </c>
      <c r="AX51" s="27">
        <f>ROUND(F51*AP51,2)</f>
        <v>0</v>
      </c>
      <c r="AY51" s="29" t="s">
        <v>160</v>
      </c>
      <c r="AZ51" s="29" t="s">
        <v>142</v>
      </c>
      <c r="BA51" s="10" t="s">
        <v>65</v>
      </c>
      <c r="BC51" s="27">
        <f>AW51+AX51</f>
        <v>0</v>
      </c>
      <c r="BD51" s="27">
        <f>G51/(100-BE51)*100</f>
        <v>0</v>
      </c>
      <c r="BE51" s="27">
        <v>0</v>
      </c>
      <c r="BF51" s="27">
        <f>L51</f>
        <v>0</v>
      </c>
      <c r="BH51" s="27">
        <f>F51*AO51</f>
        <v>0</v>
      </c>
      <c r="BI51" s="27">
        <f>F51*AP51</f>
        <v>0</v>
      </c>
      <c r="BJ51" s="27">
        <f>F51*G51</f>
        <v>0</v>
      </c>
      <c r="BK51" s="29" t="s">
        <v>66</v>
      </c>
      <c r="BL51" s="27">
        <v>95</v>
      </c>
      <c r="BW51" s="27">
        <v>21</v>
      </c>
      <c r="BX51" s="4" t="s">
        <v>159</v>
      </c>
    </row>
    <row r="52" spans="1:76" x14ac:dyDescent="0.25">
      <c r="A52" s="30"/>
      <c r="C52" s="31" t="s">
        <v>161</v>
      </c>
      <c r="D52" s="31" t="s">
        <v>162</v>
      </c>
      <c r="F52" s="32">
        <v>377</v>
      </c>
      <c r="M52" s="33"/>
    </row>
    <row r="53" spans="1:76" x14ac:dyDescent="0.25">
      <c r="A53" s="2" t="s">
        <v>163</v>
      </c>
      <c r="B53" s="3" t="s">
        <v>164</v>
      </c>
      <c r="C53" s="80" t="s">
        <v>165</v>
      </c>
      <c r="D53" s="73"/>
      <c r="E53" s="3" t="s">
        <v>166</v>
      </c>
      <c r="F53" s="27">
        <v>36</v>
      </c>
      <c r="G53" s="67">
        <v>0</v>
      </c>
      <c r="H53" s="27">
        <f>ROUND(F53*AO53,2)</f>
        <v>0</v>
      </c>
      <c r="I53" s="27">
        <f>ROUND(F53*AP53,2)</f>
        <v>0</v>
      </c>
      <c r="J53" s="27">
        <f>ROUND(F53*G53,2)</f>
        <v>0</v>
      </c>
      <c r="K53" s="27">
        <v>0</v>
      </c>
      <c r="L53" s="27">
        <f>F53*K53</f>
        <v>0</v>
      </c>
      <c r="M53" s="28" t="s">
        <v>62</v>
      </c>
      <c r="Z53" s="27">
        <f>ROUND(IF(AQ53="5",BJ53,0),2)</f>
        <v>0</v>
      </c>
      <c r="AB53" s="27">
        <f>ROUND(IF(AQ53="1",BH53,0),2)</f>
        <v>0</v>
      </c>
      <c r="AC53" s="27">
        <f>ROUND(IF(AQ53="1",BI53,0),2)</f>
        <v>0</v>
      </c>
      <c r="AD53" s="27">
        <f>ROUND(IF(AQ53="7",BH53,0),2)</f>
        <v>0</v>
      </c>
      <c r="AE53" s="27">
        <f>ROUND(IF(AQ53="7",BI53,0),2)</f>
        <v>0</v>
      </c>
      <c r="AF53" s="27">
        <f>ROUND(IF(AQ53="2",BH53,0),2)</f>
        <v>0</v>
      </c>
      <c r="AG53" s="27">
        <f>ROUND(IF(AQ53="2",BI53,0),2)</f>
        <v>0</v>
      </c>
      <c r="AH53" s="27">
        <f>ROUND(IF(AQ53="0",BJ53,0),2)</f>
        <v>0</v>
      </c>
      <c r="AI53" s="10" t="s">
        <v>55</v>
      </c>
      <c r="AJ53" s="27">
        <f>IF(AN53=0,J53,0)</f>
        <v>0</v>
      </c>
      <c r="AK53" s="27">
        <f>IF(AN53=12,J53,0)</f>
        <v>0</v>
      </c>
      <c r="AL53" s="27">
        <f>IF(AN53=21,J53,0)</f>
        <v>0</v>
      </c>
      <c r="AN53" s="27">
        <v>21</v>
      </c>
      <c r="AO53" s="27">
        <f>G53*0</f>
        <v>0</v>
      </c>
      <c r="AP53" s="27">
        <f>G53*(1-0)</f>
        <v>0</v>
      </c>
      <c r="AQ53" s="29" t="s">
        <v>58</v>
      </c>
      <c r="AV53" s="27">
        <f>ROUND(AW53+AX53,2)</f>
        <v>0</v>
      </c>
      <c r="AW53" s="27">
        <f>ROUND(F53*AO53,2)</f>
        <v>0</v>
      </c>
      <c r="AX53" s="27">
        <f>ROUND(F53*AP53,2)</f>
        <v>0</v>
      </c>
      <c r="AY53" s="29" t="s">
        <v>160</v>
      </c>
      <c r="AZ53" s="29" t="s">
        <v>142</v>
      </c>
      <c r="BA53" s="10" t="s">
        <v>65</v>
      </c>
      <c r="BC53" s="27">
        <f>AW53+AX53</f>
        <v>0</v>
      </c>
      <c r="BD53" s="27">
        <f>G53/(100-BE53)*100</f>
        <v>0</v>
      </c>
      <c r="BE53" s="27">
        <v>0</v>
      </c>
      <c r="BF53" s="27">
        <f>L53</f>
        <v>0</v>
      </c>
      <c r="BH53" s="27">
        <f>F53*AO53</f>
        <v>0</v>
      </c>
      <c r="BI53" s="27">
        <f>F53*AP53</f>
        <v>0</v>
      </c>
      <c r="BJ53" s="27">
        <f>F53*G53</f>
        <v>0</v>
      </c>
      <c r="BK53" s="29" t="s">
        <v>66</v>
      </c>
      <c r="BL53" s="27">
        <v>95</v>
      </c>
      <c r="BW53" s="27">
        <v>21</v>
      </c>
      <c r="BX53" s="4" t="s">
        <v>165</v>
      </c>
    </row>
    <row r="54" spans="1:76" x14ac:dyDescent="0.25">
      <c r="A54" s="30"/>
      <c r="C54" s="31" t="s">
        <v>123</v>
      </c>
      <c r="D54" s="31" t="s">
        <v>167</v>
      </c>
      <c r="F54" s="32">
        <v>8</v>
      </c>
      <c r="M54" s="33"/>
    </row>
    <row r="55" spans="1:76" x14ac:dyDescent="0.25">
      <c r="A55" s="30"/>
      <c r="C55" s="31" t="s">
        <v>157</v>
      </c>
      <c r="D55" s="31" t="s">
        <v>168</v>
      </c>
      <c r="F55" s="32">
        <v>12</v>
      </c>
      <c r="M55" s="33"/>
    </row>
    <row r="56" spans="1:76" x14ac:dyDescent="0.25">
      <c r="A56" s="30"/>
      <c r="C56" s="31" t="s">
        <v>169</v>
      </c>
      <c r="D56" s="31" t="s">
        <v>170</v>
      </c>
      <c r="F56" s="32">
        <v>16</v>
      </c>
      <c r="M56" s="33"/>
    </row>
    <row r="57" spans="1:76" x14ac:dyDescent="0.25">
      <c r="A57" s="34" t="s">
        <v>55</v>
      </c>
      <c r="B57" s="35" t="s">
        <v>171</v>
      </c>
      <c r="C57" s="133" t="s">
        <v>172</v>
      </c>
      <c r="D57" s="134"/>
      <c r="E57" s="36" t="s">
        <v>4</v>
      </c>
      <c r="F57" s="36" t="s">
        <v>4</v>
      </c>
      <c r="G57" s="36" t="s">
        <v>4</v>
      </c>
      <c r="H57" s="1">
        <f>ROUND(SUM(H58:H65),2)</f>
        <v>0</v>
      </c>
      <c r="I57" s="1">
        <f>ROUND(SUM(I58:I65),2)</f>
        <v>0</v>
      </c>
      <c r="J57" s="1">
        <f>ROUND(SUM(J58:J65),2)</f>
        <v>0</v>
      </c>
      <c r="K57" s="10" t="s">
        <v>55</v>
      </c>
      <c r="L57" s="1">
        <f>SUM(L58:L65)</f>
        <v>12.755800000000002</v>
      </c>
      <c r="M57" s="37" t="s">
        <v>55</v>
      </c>
      <c r="AI57" s="10" t="s">
        <v>55</v>
      </c>
      <c r="AS57" s="1">
        <f>SUM(AJ58:AJ65)</f>
        <v>0</v>
      </c>
      <c r="AT57" s="1">
        <f>SUM(AK58:AK65)</f>
        <v>0</v>
      </c>
      <c r="AU57" s="1">
        <f>SUM(AL58:AL65)</f>
        <v>0</v>
      </c>
    </row>
    <row r="58" spans="1:76" x14ac:dyDescent="0.25">
      <c r="A58" s="2" t="s">
        <v>173</v>
      </c>
      <c r="B58" s="3" t="s">
        <v>174</v>
      </c>
      <c r="C58" s="80" t="s">
        <v>175</v>
      </c>
      <c r="D58" s="73"/>
      <c r="E58" s="3" t="s">
        <v>113</v>
      </c>
      <c r="F58" s="27">
        <v>7.1280000000000001</v>
      </c>
      <c r="G58" s="67">
        <v>0</v>
      </c>
      <c r="H58" s="27">
        <f>ROUND(F58*AO58,2)</f>
        <v>0</v>
      </c>
      <c r="I58" s="27">
        <f>ROUND(F58*AP58,2)</f>
        <v>0</v>
      </c>
      <c r="J58" s="27">
        <f>ROUND(F58*G58,2)</f>
        <v>0</v>
      </c>
      <c r="K58" s="27">
        <v>1.6</v>
      </c>
      <c r="L58" s="27">
        <f>F58*K58</f>
        <v>11.404800000000002</v>
      </c>
      <c r="M58" s="28" t="s">
        <v>62</v>
      </c>
      <c r="Z58" s="27">
        <f>ROUND(IF(AQ58="5",BJ58,0),2)</f>
        <v>0</v>
      </c>
      <c r="AB58" s="27">
        <f>ROUND(IF(AQ58="1",BH58,0),2)</f>
        <v>0</v>
      </c>
      <c r="AC58" s="27">
        <f>ROUND(IF(AQ58="1",BI58,0),2)</f>
        <v>0</v>
      </c>
      <c r="AD58" s="27">
        <f>ROUND(IF(AQ58="7",BH58,0),2)</f>
        <v>0</v>
      </c>
      <c r="AE58" s="27">
        <f>ROUND(IF(AQ58="7",BI58,0),2)</f>
        <v>0</v>
      </c>
      <c r="AF58" s="27">
        <f>ROUND(IF(AQ58="2",BH58,0),2)</f>
        <v>0</v>
      </c>
      <c r="AG58" s="27">
        <f>ROUND(IF(AQ58="2",BI58,0),2)</f>
        <v>0</v>
      </c>
      <c r="AH58" s="27">
        <f>ROUND(IF(AQ58="0",BJ58,0),2)</f>
        <v>0</v>
      </c>
      <c r="AI58" s="10" t="s">
        <v>55</v>
      </c>
      <c r="AJ58" s="27">
        <f>IF(AN58=0,J58,0)</f>
        <v>0</v>
      </c>
      <c r="AK58" s="27">
        <f>IF(AN58=12,J58,0)</f>
        <v>0</v>
      </c>
      <c r="AL58" s="27">
        <f>IF(AN58=21,J58,0)</f>
        <v>0</v>
      </c>
      <c r="AN58" s="27">
        <v>21</v>
      </c>
      <c r="AO58" s="27">
        <f>G58*0</f>
        <v>0</v>
      </c>
      <c r="AP58" s="27">
        <f>G58*(1-0)</f>
        <v>0</v>
      </c>
      <c r="AQ58" s="29" t="s">
        <v>58</v>
      </c>
      <c r="AV58" s="27">
        <f>ROUND(AW58+AX58,2)</f>
        <v>0</v>
      </c>
      <c r="AW58" s="27">
        <f>ROUND(F58*AO58,2)</f>
        <v>0</v>
      </c>
      <c r="AX58" s="27">
        <f>ROUND(F58*AP58,2)</f>
        <v>0</v>
      </c>
      <c r="AY58" s="29" t="s">
        <v>176</v>
      </c>
      <c r="AZ58" s="29" t="s">
        <v>142</v>
      </c>
      <c r="BA58" s="10" t="s">
        <v>65</v>
      </c>
      <c r="BC58" s="27">
        <f>AW58+AX58</f>
        <v>0</v>
      </c>
      <c r="BD58" s="27">
        <f>G58/(100-BE58)*100</f>
        <v>0</v>
      </c>
      <c r="BE58" s="27">
        <v>0</v>
      </c>
      <c r="BF58" s="27">
        <f>L58</f>
        <v>11.404800000000002</v>
      </c>
      <c r="BH58" s="27">
        <f>F58*AO58</f>
        <v>0</v>
      </c>
      <c r="BI58" s="27">
        <f>F58*AP58</f>
        <v>0</v>
      </c>
      <c r="BJ58" s="27">
        <f>F58*G58</f>
        <v>0</v>
      </c>
      <c r="BK58" s="29" t="s">
        <v>66</v>
      </c>
      <c r="BL58" s="27">
        <v>96</v>
      </c>
      <c r="BW58" s="27">
        <v>21</v>
      </c>
      <c r="BX58" s="4" t="s">
        <v>175</v>
      </c>
    </row>
    <row r="59" spans="1:76" ht="13.5" customHeight="1" x14ac:dyDescent="0.25">
      <c r="A59" s="30"/>
      <c r="C59" s="135" t="s">
        <v>177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7"/>
    </row>
    <row r="60" spans="1:76" x14ac:dyDescent="0.25">
      <c r="A60" s="30"/>
      <c r="C60" s="31" t="s">
        <v>178</v>
      </c>
      <c r="D60" s="31" t="s">
        <v>179</v>
      </c>
      <c r="F60" s="32">
        <v>7.1280000000000001</v>
      </c>
      <c r="M60" s="33"/>
    </row>
    <row r="61" spans="1:76" x14ac:dyDescent="0.25">
      <c r="A61" s="2" t="s">
        <v>180</v>
      </c>
      <c r="B61" s="3" t="s">
        <v>181</v>
      </c>
      <c r="C61" s="80" t="s">
        <v>182</v>
      </c>
      <c r="D61" s="73"/>
      <c r="E61" s="3" t="s">
        <v>113</v>
      </c>
      <c r="F61" s="27">
        <v>0.56499999999999995</v>
      </c>
      <c r="G61" s="67">
        <v>0</v>
      </c>
      <c r="H61" s="27">
        <f>ROUND(F61*AO61,2)</f>
        <v>0</v>
      </c>
      <c r="I61" s="27">
        <f>ROUND(F61*AP61,2)</f>
        <v>0</v>
      </c>
      <c r="J61" s="27">
        <f>ROUND(F61*G61,2)</f>
        <v>0</v>
      </c>
      <c r="K61" s="27">
        <v>2.2000000000000002</v>
      </c>
      <c r="L61" s="27">
        <f>F61*K61</f>
        <v>1.2429999999999999</v>
      </c>
      <c r="M61" s="28" t="s">
        <v>62</v>
      </c>
      <c r="Z61" s="27">
        <f>ROUND(IF(AQ61="5",BJ61,0),2)</f>
        <v>0</v>
      </c>
      <c r="AB61" s="27">
        <f>ROUND(IF(AQ61="1",BH61,0),2)</f>
        <v>0</v>
      </c>
      <c r="AC61" s="27">
        <f>ROUND(IF(AQ61="1",BI61,0),2)</f>
        <v>0</v>
      </c>
      <c r="AD61" s="27">
        <f>ROUND(IF(AQ61="7",BH61,0),2)</f>
        <v>0</v>
      </c>
      <c r="AE61" s="27">
        <f>ROUND(IF(AQ61="7",BI61,0),2)</f>
        <v>0</v>
      </c>
      <c r="AF61" s="27">
        <f>ROUND(IF(AQ61="2",BH61,0),2)</f>
        <v>0</v>
      </c>
      <c r="AG61" s="27">
        <f>ROUND(IF(AQ61="2",BI61,0),2)</f>
        <v>0</v>
      </c>
      <c r="AH61" s="27">
        <f>ROUND(IF(AQ61="0",BJ61,0),2)</f>
        <v>0</v>
      </c>
      <c r="AI61" s="10" t="s">
        <v>55</v>
      </c>
      <c r="AJ61" s="27">
        <f>IF(AN61=0,J61,0)</f>
        <v>0</v>
      </c>
      <c r="AK61" s="27">
        <f>IF(AN61=12,J61,0)</f>
        <v>0</v>
      </c>
      <c r="AL61" s="27">
        <f>IF(AN61=21,J61,0)</f>
        <v>0</v>
      </c>
      <c r="AN61" s="27">
        <v>21</v>
      </c>
      <c r="AO61" s="27">
        <f>G61*0</f>
        <v>0</v>
      </c>
      <c r="AP61" s="27">
        <f>G61*(1-0)</f>
        <v>0</v>
      </c>
      <c r="AQ61" s="29" t="s">
        <v>58</v>
      </c>
      <c r="AV61" s="27">
        <f>ROUND(AW61+AX61,2)</f>
        <v>0</v>
      </c>
      <c r="AW61" s="27">
        <f>ROUND(F61*AO61,2)</f>
        <v>0</v>
      </c>
      <c r="AX61" s="27">
        <f>ROUND(F61*AP61,2)</f>
        <v>0</v>
      </c>
      <c r="AY61" s="29" t="s">
        <v>176</v>
      </c>
      <c r="AZ61" s="29" t="s">
        <v>142</v>
      </c>
      <c r="BA61" s="10" t="s">
        <v>65</v>
      </c>
      <c r="BC61" s="27">
        <f>AW61+AX61</f>
        <v>0</v>
      </c>
      <c r="BD61" s="27">
        <f>G61/(100-BE61)*100</f>
        <v>0</v>
      </c>
      <c r="BE61" s="27">
        <v>0</v>
      </c>
      <c r="BF61" s="27">
        <f>L61</f>
        <v>1.2429999999999999</v>
      </c>
      <c r="BH61" s="27">
        <f>F61*AO61</f>
        <v>0</v>
      </c>
      <c r="BI61" s="27">
        <f>F61*AP61</f>
        <v>0</v>
      </c>
      <c r="BJ61" s="27">
        <f>F61*G61</f>
        <v>0</v>
      </c>
      <c r="BK61" s="29" t="s">
        <v>66</v>
      </c>
      <c r="BL61" s="27">
        <v>96</v>
      </c>
      <c r="BW61" s="27">
        <v>21</v>
      </c>
      <c r="BX61" s="4" t="s">
        <v>182</v>
      </c>
    </row>
    <row r="62" spans="1:76" ht="13.5" customHeight="1" x14ac:dyDescent="0.25">
      <c r="A62" s="30"/>
      <c r="C62" s="135" t="s">
        <v>183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7"/>
    </row>
    <row r="63" spans="1:76" x14ac:dyDescent="0.25">
      <c r="A63" s="30"/>
      <c r="C63" s="31" t="s">
        <v>184</v>
      </c>
      <c r="D63" s="31" t="s">
        <v>127</v>
      </c>
      <c r="F63" s="32">
        <v>0.25</v>
      </c>
      <c r="M63" s="33"/>
    </row>
    <row r="64" spans="1:76" x14ac:dyDescent="0.25">
      <c r="A64" s="30"/>
      <c r="C64" s="31" t="s">
        <v>185</v>
      </c>
      <c r="D64" s="31" t="s">
        <v>129</v>
      </c>
      <c r="F64" s="32">
        <v>0.315</v>
      </c>
      <c r="M64" s="33"/>
    </row>
    <row r="65" spans="1:76" x14ac:dyDescent="0.25">
      <c r="A65" s="2" t="s">
        <v>169</v>
      </c>
      <c r="B65" s="3" t="s">
        <v>186</v>
      </c>
      <c r="C65" s="80" t="s">
        <v>187</v>
      </c>
      <c r="D65" s="73"/>
      <c r="E65" s="3" t="s">
        <v>113</v>
      </c>
      <c r="F65" s="27">
        <v>5.3999999999999999E-2</v>
      </c>
      <c r="G65" s="67">
        <v>0</v>
      </c>
      <c r="H65" s="27">
        <f>ROUND(F65*AO65,2)</f>
        <v>0</v>
      </c>
      <c r="I65" s="27">
        <f>ROUND(F65*AP65,2)</f>
        <v>0</v>
      </c>
      <c r="J65" s="27">
        <f>ROUND(F65*G65,2)</f>
        <v>0</v>
      </c>
      <c r="K65" s="27">
        <v>2</v>
      </c>
      <c r="L65" s="27">
        <f>F65*K65</f>
        <v>0.108</v>
      </c>
      <c r="M65" s="28" t="s">
        <v>62</v>
      </c>
      <c r="Z65" s="27">
        <f>ROUND(IF(AQ65="5",BJ65,0),2)</f>
        <v>0</v>
      </c>
      <c r="AB65" s="27">
        <f>ROUND(IF(AQ65="1",BH65,0),2)</f>
        <v>0</v>
      </c>
      <c r="AC65" s="27">
        <f>ROUND(IF(AQ65="1",BI65,0),2)</f>
        <v>0</v>
      </c>
      <c r="AD65" s="27">
        <f>ROUND(IF(AQ65="7",BH65,0),2)</f>
        <v>0</v>
      </c>
      <c r="AE65" s="27">
        <f>ROUND(IF(AQ65="7",BI65,0),2)</f>
        <v>0</v>
      </c>
      <c r="AF65" s="27">
        <f>ROUND(IF(AQ65="2",BH65,0),2)</f>
        <v>0</v>
      </c>
      <c r="AG65" s="27">
        <f>ROUND(IF(AQ65="2",BI65,0),2)</f>
        <v>0</v>
      </c>
      <c r="AH65" s="27">
        <f>ROUND(IF(AQ65="0",BJ65,0),2)</f>
        <v>0</v>
      </c>
      <c r="AI65" s="10" t="s">
        <v>55</v>
      </c>
      <c r="AJ65" s="27">
        <f>IF(AN65=0,J65,0)</f>
        <v>0</v>
      </c>
      <c r="AK65" s="27">
        <f>IF(AN65=12,J65,0)</f>
        <v>0</v>
      </c>
      <c r="AL65" s="27">
        <f>IF(AN65=21,J65,0)</f>
        <v>0</v>
      </c>
      <c r="AN65" s="27">
        <v>21</v>
      </c>
      <c r="AO65" s="27">
        <f>G65*0</f>
        <v>0</v>
      </c>
      <c r="AP65" s="27">
        <f>G65*(1-0)</f>
        <v>0</v>
      </c>
      <c r="AQ65" s="29" t="s">
        <v>58</v>
      </c>
      <c r="AV65" s="27">
        <f>ROUND(AW65+AX65,2)</f>
        <v>0</v>
      </c>
      <c r="AW65" s="27">
        <f>ROUND(F65*AO65,2)</f>
        <v>0</v>
      </c>
      <c r="AX65" s="27">
        <f>ROUND(F65*AP65,2)</f>
        <v>0</v>
      </c>
      <c r="AY65" s="29" t="s">
        <v>176</v>
      </c>
      <c r="AZ65" s="29" t="s">
        <v>142</v>
      </c>
      <c r="BA65" s="10" t="s">
        <v>65</v>
      </c>
      <c r="BC65" s="27">
        <f>AW65+AX65</f>
        <v>0</v>
      </c>
      <c r="BD65" s="27">
        <f>G65/(100-BE65)*100</f>
        <v>0</v>
      </c>
      <c r="BE65" s="27">
        <v>0</v>
      </c>
      <c r="BF65" s="27">
        <f>L65</f>
        <v>0.108</v>
      </c>
      <c r="BH65" s="27">
        <f>F65*AO65</f>
        <v>0</v>
      </c>
      <c r="BI65" s="27">
        <f>F65*AP65</f>
        <v>0</v>
      </c>
      <c r="BJ65" s="27">
        <f>F65*G65</f>
        <v>0</v>
      </c>
      <c r="BK65" s="29" t="s">
        <v>66</v>
      </c>
      <c r="BL65" s="27">
        <v>96</v>
      </c>
      <c r="BW65" s="27">
        <v>21</v>
      </c>
      <c r="BX65" s="4" t="s">
        <v>187</v>
      </c>
    </row>
    <row r="66" spans="1:76" x14ac:dyDescent="0.25">
      <c r="A66" s="30"/>
      <c r="C66" s="31" t="s">
        <v>188</v>
      </c>
      <c r="D66" s="31" t="s">
        <v>189</v>
      </c>
      <c r="F66" s="32">
        <v>5.3999999999999999E-2</v>
      </c>
      <c r="M66" s="33"/>
    </row>
    <row r="67" spans="1:76" x14ac:dyDescent="0.25">
      <c r="A67" s="34" t="s">
        <v>55</v>
      </c>
      <c r="B67" s="35" t="s">
        <v>190</v>
      </c>
      <c r="C67" s="133" t="s">
        <v>191</v>
      </c>
      <c r="D67" s="134"/>
      <c r="E67" s="36" t="s">
        <v>4</v>
      </c>
      <c r="F67" s="36" t="s">
        <v>4</v>
      </c>
      <c r="G67" s="36" t="s">
        <v>4</v>
      </c>
      <c r="H67" s="1">
        <f>ROUND(SUM(H68:H72),2)</f>
        <v>0</v>
      </c>
      <c r="I67" s="1">
        <f>ROUND(SUM(I68:I72),2)</f>
        <v>0</v>
      </c>
      <c r="J67" s="1">
        <f>ROUND(SUM(J68:J72),2)</f>
        <v>0</v>
      </c>
      <c r="K67" s="10" t="s">
        <v>55</v>
      </c>
      <c r="L67" s="1">
        <f>SUM(L68:L72)</f>
        <v>0</v>
      </c>
      <c r="M67" s="37" t="s">
        <v>55</v>
      </c>
      <c r="AI67" s="10" t="s">
        <v>55</v>
      </c>
      <c r="AS67" s="1">
        <f>SUM(AJ68:AJ72)</f>
        <v>0</v>
      </c>
      <c r="AT67" s="1">
        <f>SUM(AK68:AK72)</f>
        <v>0</v>
      </c>
      <c r="AU67" s="1">
        <f>SUM(AL68:AL72)</f>
        <v>0</v>
      </c>
    </row>
    <row r="68" spans="1:76" x14ac:dyDescent="0.25">
      <c r="A68" s="2" t="s">
        <v>192</v>
      </c>
      <c r="B68" s="3" t="s">
        <v>193</v>
      </c>
      <c r="C68" s="80" t="s">
        <v>194</v>
      </c>
      <c r="D68" s="73"/>
      <c r="E68" s="3" t="s">
        <v>120</v>
      </c>
      <c r="F68" s="27">
        <v>21.172000000000001</v>
      </c>
      <c r="G68" s="67">
        <v>0</v>
      </c>
      <c r="H68" s="27">
        <f>ROUND(F68*AO68,2)</f>
        <v>0</v>
      </c>
      <c r="I68" s="27">
        <f>ROUND(F68*AP68,2)</f>
        <v>0</v>
      </c>
      <c r="J68" s="27">
        <f>ROUND(F68*G68,2)</f>
        <v>0</v>
      </c>
      <c r="K68" s="27">
        <v>0</v>
      </c>
      <c r="L68" s="27">
        <f>F68*K68</f>
        <v>0</v>
      </c>
      <c r="M68" s="28" t="s">
        <v>62</v>
      </c>
      <c r="Z68" s="27">
        <f>ROUND(IF(AQ68="5",BJ68,0),2)</f>
        <v>0</v>
      </c>
      <c r="AB68" s="27">
        <f>ROUND(IF(AQ68="1",BH68,0),2)</f>
        <v>0</v>
      </c>
      <c r="AC68" s="27">
        <f>ROUND(IF(AQ68="1",BI68,0),2)</f>
        <v>0</v>
      </c>
      <c r="AD68" s="27">
        <f>ROUND(IF(AQ68="7",BH68,0),2)</f>
        <v>0</v>
      </c>
      <c r="AE68" s="27">
        <f>ROUND(IF(AQ68="7",BI68,0),2)</f>
        <v>0</v>
      </c>
      <c r="AF68" s="27">
        <f>ROUND(IF(AQ68="2",BH68,0),2)</f>
        <v>0</v>
      </c>
      <c r="AG68" s="27">
        <f>ROUND(IF(AQ68="2",BI68,0),2)</f>
        <v>0</v>
      </c>
      <c r="AH68" s="27">
        <f>ROUND(IF(AQ68="0",BJ68,0),2)</f>
        <v>0</v>
      </c>
      <c r="AI68" s="10" t="s">
        <v>55</v>
      </c>
      <c r="AJ68" s="27">
        <f>IF(AN68=0,J68,0)</f>
        <v>0</v>
      </c>
      <c r="AK68" s="27">
        <f>IF(AN68=12,J68,0)</f>
        <v>0</v>
      </c>
      <c r="AL68" s="27">
        <f>IF(AN68=21,J68,0)</f>
        <v>0</v>
      </c>
      <c r="AN68" s="27">
        <v>21</v>
      </c>
      <c r="AO68" s="27">
        <f>G68*0</f>
        <v>0</v>
      </c>
      <c r="AP68" s="27">
        <f>G68*(1-0)</f>
        <v>0</v>
      </c>
      <c r="AQ68" s="29" t="s">
        <v>100</v>
      </c>
      <c r="AV68" s="27">
        <f>ROUND(AW68+AX68,2)</f>
        <v>0</v>
      </c>
      <c r="AW68" s="27">
        <f>ROUND(F68*AO68,2)</f>
        <v>0</v>
      </c>
      <c r="AX68" s="27">
        <f>ROUND(F68*AP68,2)</f>
        <v>0</v>
      </c>
      <c r="AY68" s="29" t="s">
        <v>195</v>
      </c>
      <c r="AZ68" s="29" t="s">
        <v>142</v>
      </c>
      <c r="BA68" s="10" t="s">
        <v>65</v>
      </c>
      <c r="BC68" s="27">
        <f>AW68+AX68</f>
        <v>0</v>
      </c>
      <c r="BD68" s="27">
        <f>G68/(100-BE68)*100</f>
        <v>0</v>
      </c>
      <c r="BE68" s="27">
        <v>0</v>
      </c>
      <c r="BF68" s="27">
        <f>L68</f>
        <v>0</v>
      </c>
      <c r="BH68" s="27">
        <f>F68*AO68</f>
        <v>0</v>
      </c>
      <c r="BI68" s="27">
        <f>F68*AP68</f>
        <v>0</v>
      </c>
      <c r="BJ68" s="27">
        <f>F68*G68</f>
        <v>0</v>
      </c>
      <c r="BK68" s="29" t="s">
        <v>66</v>
      </c>
      <c r="BL68" s="27">
        <v>979</v>
      </c>
      <c r="BW68" s="27">
        <v>21</v>
      </c>
      <c r="BX68" s="4" t="s">
        <v>194</v>
      </c>
    </row>
    <row r="69" spans="1:76" x14ac:dyDescent="0.25">
      <c r="A69" s="2" t="s">
        <v>196</v>
      </c>
      <c r="B69" s="3" t="s">
        <v>197</v>
      </c>
      <c r="C69" s="80" t="s">
        <v>198</v>
      </c>
      <c r="D69" s="73"/>
      <c r="E69" s="3" t="s">
        <v>120</v>
      </c>
      <c r="F69" s="27">
        <v>190.548</v>
      </c>
      <c r="G69" s="67">
        <v>0</v>
      </c>
      <c r="H69" s="27">
        <f>ROUND(F69*AO69,2)</f>
        <v>0</v>
      </c>
      <c r="I69" s="27">
        <f>ROUND(F69*AP69,2)</f>
        <v>0</v>
      </c>
      <c r="J69" s="27">
        <f>ROUND(F69*G69,2)</f>
        <v>0</v>
      </c>
      <c r="K69" s="27">
        <v>0</v>
      </c>
      <c r="L69" s="27">
        <f>F69*K69</f>
        <v>0</v>
      </c>
      <c r="M69" s="28" t="s">
        <v>62</v>
      </c>
      <c r="Z69" s="27">
        <f>ROUND(IF(AQ69="5",BJ69,0),2)</f>
        <v>0</v>
      </c>
      <c r="AB69" s="27">
        <f>ROUND(IF(AQ69="1",BH69,0),2)</f>
        <v>0</v>
      </c>
      <c r="AC69" s="27">
        <f>ROUND(IF(AQ69="1",BI69,0),2)</f>
        <v>0</v>
      </c>
      <c r="AD69" s="27">
        <f>ROUND(IF(AQ69="7",BH69,0),2)</f>
        <v>0</v>
      </c>
      <c r="AE69" s="27">
        <f>ROUND(IF(AQ69="7",BI69,0),2)</f>
        <v>0</v>
      </c>
      <c r="AF69" s="27">
        <f>ROUND(IF(AQ69="2",BH69,0),2)</f>
        <v>0</v>
      </c>
      <c r="AG69" s="27">
        <f>ROUND(IF(AQ69="2",BI69,0),2)</f>
        <v>0</v>
      </c>
      <c r="AH69" s="27">
        <f>ROUND(IF(AQ69="0",BJ69,0),2)</f>
        <v>0</v>
      </c>
      <c r="AI69" s="10" t="s">
        <v>55</v>
      </c>
      <c r="AJ69" s="27">
        <f>IF(AN69=0,J69,0)</f>
        <v>0</v>
      </c>
      <c r="AK69" s="27">
        <f>IF(AN69=12,J69,0)</f>
        <v>0</v>
      </c>
      <c r="AL69" s="27">
        <f>IF(AN69=21,J69,0)</f>
        <v>0</v>
      </c>
      <c r="AN69" s="27">
        <v>21</v>
      </c>
      <c r="AO69" s="27">
        <f>G69*0</f>
        <v>0</v>
      </c>
      <c r="AP69" s="27">
        <f>G69*(1-0)</f>
        <v>0</v>
      </c>
      <c r="AQ69" s="29" t="s">
        <v>100</v>
      </c>
      <c r="AV69" s="27">
        <f>ROUND(AW69+AX69,2)</f>
        <v>0</v>
      </c>
      <c r="AW69" s="27">
        <f>ROUND(F69*AO69,2)</f>
        <v>0</v>
      </c>
      <c r="AX69" s="27">
        <f>ROUND(F69*AP69,2)</f>
        <v>0</v>
      </c>
      <c r="AY69" s="29" t="s">
        <v>195</v>
      </c>
      <c r="AZ69" s="29" t="s">
        <v>142</v>
      </c>
      <c r="BA69" s="10" t="s">
        <v>65</v>
      </c>
      <c r="BC69" s="27">
        <f>AW69+AX69</f>
        <v>0</v>
      </c>
      <c r="BD69" s="27">
        <f>G69/(100-BE69)*100</f>
        <v>0</v>
      </c>
      <c r="BE69" s="27">
        <v>0</v>
      </c>
      <c r="BF69" s="27">
        <f>L69</f>
        <v>0</v>
      </c>
      <c r="BH69" s="27">
        <f>F69*AO69</f>
        <v>0</v>
      </c>
      <c r="BI69" s="27">
        <f>F69*AP69</f>
        <v>0</v>
      </c>
      <c r="BJ69" s="27">
        <f>F69*G69</f>
        <v>0</v>
      </c>
      <c r="BK69" s="29" t="s">
        <v>66</v>
      </c>
      <c r="BL69" s="27">
        <v>979</v>
      </c>
      <c r="BW69" s="27">
        <v>21</v>
      </c>
      <c r="BX69" s="4" t="s">
        <v>198</v>
      </c>
    </row>
    <row r="70" spans="1:76" x14ac:dyDescent="0.25">
      <c r="A70" s="30"/>
      <c r="C70" s="31" t="s">
        <v>199</v>
      </c>
      <c r="D70" s="31" t="s">
        <v>55</v>
      </c>
      <c r="F70" s="32">
        <v>190.548</v>
      </c>
      <c r="M70" s="33"/>
    </row>
    <row r="71" spans="1:76" x14ac:dyDescent="0.25">
      <c r="A71" s="2" t="s">
        <v>200</v>
      </c>
      <c r="B71" s="3" t="s">
        <v>201</v>
      </c>
      <c r="C71" s="80" t="s">
        <v>202</v>
      </c>
      <c r="D71" s="73"/>
      <c r="E71" s="3" t="s">
        <v>120</v>
      </c>
      <c r="F71" s="27">
        <v>21.172000000000001</v>
      </c>
      <c r="G71" s="67">
        <v>0</v>
      </c>
      <c r="H71" s="27">
        <f>ROUND(F71*AO71,2)</f>
        <v>0</v>
      </c>
      <c r="I71" s="27">
        <f>ROUND(F71*AP71,2)</f>
        <v>0</v>
      </c>
      <c r="J71" s="27">
        <f>ROUND(F71*G71,2)</f>
        <v>0</v>
      </c>
      <c r="K71" s="27">
        <v>0</v>
      </c>
      <c r="L71" s="27">
        <f>F71*K71</f>
        <v>0</v>
      </c>
      <c r="M71" s="28" t="s">
        <v>62</v>
      </c>
      <c r="Z71" s="27">
        <f>ROUND(IF(AQ71="5",BJ71,0),2)</f>
        <v>0</v>
      </c>
      <c r="AB71" s="27">
        <f>ROUND(IF(AQ71="1",BH71,0),2)</f>
        <v>0</v>
      </c>
      <c r="AC71" s="27">
        <f>ROUND(IF(AQ71="1",BI71,0),2)</f>
        <v>0</v>
      </c>
      <c r="AD71" s="27">
        <f>ROUND(IF(AQ71="7",BH71,0),2)</f>
        <v>0</v>
      </c>
      <c r="AE71" s="27">
        <f>ROUND(IF(AQ71="7",BI71,0),2)</f>
        <v>0</v>
      </c>
      <c r="AF71" s="27">
        <f>ROUND(IF(AQ71="2",BH71,0),2)</f>
        <v>0</v>
      </c>
      <c r="AG71" s="27">
        <f>ROUND(IF(AQ71="2",BI71,0),2)</f>
        <v>0</v>
      </c>
      <c r="AH71" s="27">
        <f>ROUND(IF(AQ71="0",BJ71,0),2)</f>
        <v>0</v>
      </c>
      <c r="AI71" s="10" t="s">
        <v>55</v>
      </c>
      <c r="AJ71" s="27">
        <f>IF(AN71=0,J71,0)</f>
        <v>0</v>
      </c>
      <c r="AK71" s="27">
        <f>IF(AN71=12,J71,0)</f>
        <v>0</v>
      </c>
      <c r="AL71" s="27">
        <f>IF(AN71=21,J71,0)</f>
        <v>0</v>
      </c>
      <c r="AN71" s="27">
        <v>21</v>
      </c>
      <c r="AO71" s="27">
        <f>G71*0</f>
        <v>0</v>
      </c>
      <c r="AP71" s="27">
        <f>G71*(1-0)</f>
        <v>0</v>
      </c>
      <c r="AQ71" s="29" t="s">
        <v>100</v>
      </c>
      <c r="AV71" s="27">
        <f>ROUND(AW71+AX71,2)</f>
        <v>0</v>
      </c>
      <c r="AW71" s="27">
        <f>ROUND(F71*AO71,2)</f>
        <v>0</v>
      </c>
      <c r="AX71" s="27">
        <f>ROUND(F71*AP71,2)</f>
        <v>0</v>
      </c>
      <c r="AY71" s="29" t="s">
        <v>195</v>
      </c>
      <c r="AZ71" s="29" t="s">
        <v>142</v>
      </c>
      <c r="BA71" s="10" t="s">
        <v>65</v>
      </c>
      <c r="BC71" s="27">
        <f>AW71+AX71</f>
        <v>0</v>
      </c>
      <c r="BD71" s="27">
        <f>G71/(100-BE71)*100</f>
        <v>0</v>
      </c>
      <c r="BE71" s="27">
        <v>0</v>
      </c>
      <c r="BF71" s="27">
        <f>L71</f>
        <v>0</v>
      </c>
      <c r="BH71" s="27">
        <f>F71*AO71</f>
        <v>0</v>
      </c>
      <c r="BI71" s="27">
        <f>F71*AP71</f>
        <v>0</v>
      </c>
      <c r="BJ71" s="27">
        <f>F71*G71</f>
        <v>0</v>
      </c>
      <c r="BK71" s="29" t="s">
        <v>66</v>
      </c>
      <c r="BL71" s="27">
        <v>979</v>
      </c>
      <c r="BW71" s="27">
        <v>21</v>
      </c>
      <c r="BX71" s="4" t="s">
        <v>202</v>
      </c>
    </row>
    <row r="72" spans="1:76" x14ac:dyDescent="0.25">
      <c r="A72" s="2" t="s">
        <v>107</v>
      </c>
      <c r="B72" s="3" t="s">
        <v>203</v>
      </c>
      <c r="C72" s="80" t="s">
        <v>204</v>
      </c>
      <c r="D72" s="73"/>
      <c r="E72" s="3" t="s">
        <v>120</v>
      </c>
      <c r="F72" s="27">
        <v>21.172000000000001</v>
      </c>
      <c r="G72" s="67">
        <v>0</v>
      </c>
      <c r="H72" s="27">
        <f>ROUND(F72*AO72,2)</f>
        <v>0</v>
      </c>
      <c r="I72" s="27">
        <f>ROUND(F72*AP72,2)</f>
        <v>0</v>
      </c>
      <c r="J72" s="27">
        <f>ROUND(F72*G72,2)</f>
        <v>0</v>
      </c>
      <c r="K72" s="27">
        <v>0</v>
      </c>
      <c r="L72" s="27">
        <f>F72*K72</f>
        <v>0</v>
      </c>
      <c r="M72" s="28" t="s">
        <v>62</v>
      </c>
      <c r="Z72" s="27">
        <f>ROUND(IF(AQ72="5",BJ72,0),2)</f>
        <v>0</v>
      </c>
      <c r="AB72" s="27">
        <f>ROUND(IF(AQ72="1",BH72,0),2)</f>
        <v>0</v>
      </c>
      <c r="AC72" s="27">
        <f>ROUND(IF(AQ72="1",BI72,0),2)</f>
        <v>0</v>
      </c>
      <c r="AD72" s="27">
        <f>ROUND(IF(AQ72="7",BH72,0),2)</f>
        <v>0</v>
      </c>
      <c r="AE72" s="27">
        <f>ROUND(IF(AQ72="7",BI72,0),2)</f>
        <v>0</v>
      </c>
      <c r="AF72" s="27">
        <f>ROUND(IF(AQ72="2",BH72,0),2)</f>
        <v>0</v>
      </c>
      <c r="AG72" s="27">
        <f>ROUND(IF(AQ72="2",BI72,0),2)</f>
        <v>0</v>
      </c>
      <c r="AH72" s="27">
        <f>ROUND(IF(AQ72="0",BJ72,0),2)</f>
        <v>0</v>
      </c>
      <c r="AI72" s="10" t="s">
        <v>55</v>
      </c>
      <c r="AJ72" s="27">
        <f>IF(AN72=0,J72,0)</f>
        <v>0</v>
      </c>
      <c r="AK72" s="27">
        <f>IF(AN72=12,J72,0)</f>
        <v>0</v>
      </c>
      <c r="AL72" s="27">
        <f>IF(AN72=21,J72,0)</f>
        <v>0</v>
      </c>
      <c r="AN72" s="27">
        <v>21</v>
      </c>
      <c r="AO72" s="27">
        <f>G72*0</f>
        <v>0</v>
      </c>
      <c r="AP72" s="27">
        <f>G72*(1-0)</f>
        <v>0</v>
      </c>
      <c r="AQ72" s="29" t="s">
        <v>100</v>
      </c>
      <c r="AV72" s="27">
        <f>ROUND(AW72+AX72,2)</f>
        <v>0</v>
      </c>
      <c r="AW72" s="27">
        <f>ROUND(F72*AO72,2)</f>
        <v>0</v>
      </c>
      <c r="AX72" s="27">
        <f>ROUND(F72*AP72,2)</f>
        <v>0</v>
      </c>
      <c r="AY72" s="29" t="s">
        <v>195</v>
      </c>
      <c r="AZ72" s="29" t="s">
        <v>142</v>
      </c>
      <c r="BA72" s="10" t="s">
        <v>65</v>
      </c>
      <c r="BC72" s="27">
        <f>AW72+AX72</f>
        <v>0</v>
      </c>
      <c r="BD72" s="27">
        <f>G72/(100-BE72)*100</f>
        <v>0</v>
      </c>
      <c r="BE72" s="27">
        <v>0</v>
      </c>
      <c r="BF72" s="27">
        <f>L72</f>
        <v>0</v>
      </c>
      <c r="BH72" s="27">
        <f>F72*AO72</f>
        <v>0</v>
      </c>
      <c r="BI72" s="27">
        <f>F72*AP72</f>
        <v>0</v>
      </c>
      <c r="BJ72" s="27">
        <f>F72*G72</f>
        <v>0</v>
      </c>
      <c r="BK72" s="29" t="s">
        <v>66</v>
      </c>
      <c r="BL72" s="27">
        <v>979</v>
      </c>
      <c r="BW72" s="27">
        <v>21</v>
      </c>
      <c r="BX72" s="4" t="s">
        <v>204</v>
      </c>
    </row>
    <row r="73" spans="1:76" x14ac:dyDescent="0.25">
      <c r="A73" s="34" t="s">
        <v>55</v>
      </c>
      <c r="B73" s="35" t="s">
        <v>205</v>
      </c>
      <c r="C73" s="133" t="s">
        <v>206</v>
      </c>
      <c r="D73" s="134"/>
      <c r="E73" s="36" t="s">
        <v>4</v>
      </c>
      <c r="F73" s="36" t="s">
        <v>4</v>
      </c>
      <c r="G73" s="36" t="s">
        <v>4</v>
      </c>
      <c r="H73" s="1">
        <f>ROUND(SUM(H74:H74),2)</f>
        <v>0</v>
      </c>
      <c r="I73" s="1">
        <f>ROUND(SUM(I74:I74),2)</f>
        <v>0</v>
      </c>
      <c r="J73" s="1">
        <f>ROUND(SUM(J74:J74),2)</f>
        <v>0</v>
      </c>
      <c r="K73" s="10" t="s">
        <v>55</v>
      </c>
      <c r="L73" s="1">
        <f>SUM(L74:L74)</f>
        <v>0</v>
      </c>
      <c r="M73" s="37" t="s">
        <v>55</v>
      </c>
      <c r="AI73" s="10" t="s">
        <v>55</v>
      </c>
      <c r="AS73" s="1">
        <f>SUM(AJ74:AJ74)</f>
        <v>0</v>
      </c>
      <c r="AT73" s="1">
        <f>SUM(AK74:AK74)</f>
        <v>0</v>
      </c>
      <c r="AU73" s="1">
        <f>SUM(AL74:AL74)</f>
        <v>0</v>
      </c>
    </row>
    <row r="74" spans="1:76" x14ac:dyDescent="0.25">
      <c r="A74" s="2" t="s">
        <v>56</v>
      </c>
      <c r="B74" s="3" t="s">
        <v>207</v>
      </c>
      <c r="C74" s="80" t="s">
        <v>208</v>
      </c>
      <c r="D74" s="73"/>
      <c r="E74" s="3" t="s">
        <v>120</v>
      </c>
      <c r="F74" s="27">
        <v>7.4880000000000004</v>
      </c>
      <c r="G74" s="67">
        <v>0</v>
      </c>
      <c r="H74" s="27">
        <f>ROUND(F74*AO74,2)</f>
        <v>0</v>
      </c>
      <c r="I74" s="27">
        <f>ROUND(F74*AP74,2)</f>
        <v>0</v>
      </c>
      <c r="J74" s="27">
        <f>ROUND(F74*G74,2)</f>
        <v>0</v>
      </c>
      <c r="K74" s="27">
        <v>0</v>
      </c>
      <c r="L74" s="27">
        <f>F74*K74</f>
        <v>0</v>
      </c>
      <c r="M74" s="28" t="s">
        <v>62</v>
      </c>
      <c r="Z74" s="27">
        <f>ROUND(IF(AQ74="5",BJ74,0),2)</f>
        <v>0</v>
      </c>
      <c r="AB74" s="27">
        <f>ROUND(IF(AQ74="1",BH74,0),2)</f>
        <v>0</v>
      </c>
      <c r="AC74" s="27">
        <f>ROUND(IF(AQ74="1",BI74,0),2)</f>
        <v>0</v>
      </c>
      <c r="AD74" s="27">
        <f>ROUND(IF(AQ74="7",BH74,0),2)</f>
        <v>0</v>
      </c>
      <c r="AE74" s="27">
        <f>ROUND(IF(AQ74="7",BI74,0),2)</f>
        <v>0</v>
      </c>
      <c r="AF74" s="27">
        <f>ROUND(IF(AQ74="2",BH74,0),2)</f>
        <v>0</v>
      </c>
      <c r="AG74" s="27">
        <f>ROUND(IF(AQ74="2",BI74,0),2)</f>
        <v>0</v>
      </c>
      <c r="AH74" s="27">
        <f>ROUND(IF(AQ74="0",BJ74,0),2)</f>
        <v>0</v>
      </c>
      <c r="AI74" s="10" t="s">
        <v>55</v>
      </c>
      <c r="AJ74" s="27">
        <f>IF(AN74=0,J74,0)</f>
        <v>0</v>
      </c>
      <c r="AK74" s="27">
        <f>IF(AN74=12,J74,0)</f>
        <v>0</v>
      </c>
      <c r="AL74" s="27">
        <f>IF(AN74=21,J74,0)</f>
        <v>0</v>
      </c>
      <c r="AN74" s="27">
        <v>21</v>
      </c>
      <c r="AO74" s="27">
        <f>G74*0</f>
        <v>0</v>
      </c>
      <c r="AP74" s="27">
        <f>G74*(1-0)</f>
        <v>0</v>
      </c>
      <c r="AQ74" s="29" t="s">
        <v>100</v>
      </c>
      <c r="AV74" s="27">
        <f>ROUND(AW74+AX74,2)</f>
        <v>0</v>
      </c>
      <c r="AW74" s="27">
        <f>ROUND(F74*AO74,2)</f>
        <v>0</v>
      </c>
      <c r="AX74" s="27">
        <f>ROUND(F74*AP74,2)</f>
        <v>0</v>
      </c>
      <c r="AY74" s="29" t="s">
        <v>209</v>
      </c>
      <c r="AZ74" s="29" t="s">
        <v>142</v>
      </c>
      <c r="BA74" s="10" t="s">
        <v>65</v>
      </c>
      <c r="BC74" s="27">
        <f>AW74+AX74</f>
        <v>0</v>
      </c>
      <c r="BD74" s="27">
        <f>G74/(100-BE74)*100</f>
        <v>0</v>
      </c>
      <c r="BE74" s="27">
        <v>0</v>
      </c>
      <c r="BF74" s="27">
        <f>L74</f>
        <v>0</v>
      </c>
      <c r="BH74" s="27">
        <f>F74*AO74</f>
        <v>0</v>
      </c>
      <c r="BI74" s="27">
        <f>F74*AP74</f>
        <v>0</v>
      </c>
      <c r="BJ74" s="27">
        <f>F74*G74</f>
        <v>0</v>
      </c>
      <c r="BK74" s="29" t="s">
        <v>66</v>
      </c>
      <c r="BL74" s="27">
        <v>99</v>
      </c>
      <c r="BW74" s="27">
        <v>21</v>
      </c>
      <c r="BX74" s="4" t="s">
        <v>208</v>
      </c>
    </row>
    <row r="75" spans="1:76" x14ac:dyDescent="0.25">
      <c r="A75" s="34" t="s">
        <v>55</v>
      </c>
      <c r="B75" s="35" t="s">
        <v>210</v>
      </c>
      <c r="C75" s="133" t="s">
        <v>211</v>
      </c>
      <c r="D75" s="134"/>
      <c r="E75" s="36" t="s">
        <v>4</v>
      </c>
      <c r="F75" s="36" t="s">
        <v>4</v>
      </c>
      <c r="G75" s="36" t="s">
        <v>4</v>
      </c>
      <c r="H75" s="1">
        <f>ROUND(SUM(H76:H81),2)</f>
        <v>0</v>
      </c>
      <c r="I75" s="1">
        <f>ROUND(SUM(I76:I81),2)</f>
        <v>0</v>
      </c>
      <c r="J75" s="1">
        <f>ROUND(SUM(J76:J81),2)</f>
        <v>0</v>
      </c>
      <c r="K75" s="10" t="s">
        <v>55</v>
      </c>
      <c r="L75" s="1">
        <f>SUM(L76:L81)</f>
        <v>1.73448E-2</v>
      </c>
      <c r="M75" s="37" t="s">
        <v>55</v>
      </c>
      <c r="AI75" s="10" t="s">
        <v>55</v>
      </c>
      <c r="AS75" s="1">
        <f>SUM(AJ76:AJ81)</f>
        <v>0</v>
      </c>
      <c r="AT75" s="1">
        <f>SUM(AK76:AK81)</f>
        <v>0</v>
      </c>
      <c r="AU75" s="1">
        <f>SUM(AL76:AL81)</f>
        <v>0</v>
      </c>
    </row>
    <row r="76" spans="1:76" x14ac:dyDescent="0.25">
      <c r="A76" s="2" t="s">
        <v>212</v>
      </c>
      <c r="B76" s="3" t="s">
        <v>213</v>
      </c>
      <c r="C76" s="80" t="s">
        <v>214</v>
      </c>
      <c r="D76" s="73"/>
      <c r="E76" s="3" t="s">
        <v>61</v>
      </c>
      <c r="F76" s="27">
        <v>1.5840000000000001</v>
      </c>
      <c r="G76" s="67">
        <v>0</v>
      </c>
      <c r="H76" s="27">
        <f>ROUND(F76*AO76,2)</f>
        <v>0</v>
      </c>
      <c r="I76" s="27">
        <f>ROUND(F76*AP76,2)</f>
        <v>0</v>
      </c>
      <c r="J76" s="27">
        <f>ROUND(F76*G76,2)</f>
        <v>0</v>
      </c>
      <c r="K76" s="27">
        <v>1.095E-2</v>
      </c>
      <c r="L76" s="27">
        <f>F76*K76</f>
        <v>1.73448E-2</v>
      </c>
      <c r="M76" s="28" t="s">
        <v>62</v>
      </c>
      <c r="Z76" s="27">
        <f>ROUND(IF(AQ76="5",BJ76,0),2)</f>
        <v>0</v>
      </c>
      <c r="AB76" s="27">
        <f>ROUND(IF(AQ76="1",BH76,0),2)</f>
        <v>0</v>
      </c>
      <c r="AC76" s="27">
        <f>ROUND(IF(AQ76="1",BI76,0),2)</f>
        <v>0</v>
      </c>
      <c r="AD76" s="27">
        <f>ROUND(IF(AQ76="7",BH76,0),2)</f>
        <v>0</v>
      </c>
      <c r="AE76" s="27">
        <f>ROUND(IF(AQ76="7",BI76,0),2)</f>
        <v>0</v>
      </c>
      <c r="AF76" s="27">
        <f>ROUND(IF(AQ76="2",BH76,0),2)</f>
        <v>0</v>
      </c>
      <c r="AG76" s="27">
        <f>ROUND(IF(AQ76="2",BI76,0),2)</f>
        <v>0</v>
      </c>
      <c r="AH76" s="27">
        <f>ROUND(IF(AQ76="0",BJ76,0),2)</f>
        <v>0</v>
      </c>
      <c r="AI76" s="10" t="s">
        <v>55</v>
      </c>
      <c r="AJ76" s="27">
        <f>IF(AN76=0,J76,0)</f>
        <v>0</v>
      </c>
      <c r="AK76" s="27">
        <f>IF(AN76=12,J76,0)</f>
        <v>0</v>
      </c>
      <c r="AL76" s="27">
        <f>IF(AN76=21,J76,0)</f>
        <v>0</v>
      </c>
      <c r="AN76" s="27">
        <v>21</v>
      </c>
      <c r="AO76" s="27">
        <f>G76*0.688064958</f>
        <v>0</v>
      </c>
      <c r="AP76" s="27">
        <f>G76*(1-0.688064958)</f>
        <v>0</v>
      </c>
      <c r="AQ76" s="29" t="s">
        <v>117</v>
      </c>
      <c r="AV76" s="27">
        <f>ROUND(AW76+AX76,2)</f>
        <v>0</v>
      </c>
      <c r="AW76" s="27">
        <f>ROUND(F76*AO76,2)</f>
        <v>0</v>
      </c>
      <c r="AX76" s="27">
        <f>ROUND(F76*AP76,2)</f>
        <v>0</v>
      </c>
      <c r="AY76" s="29" t="s">
        <v>215</v>
      </c>
      <c r="AZ76" s="29" t="s">
        <v>216</v>
      </c>
      <c r="BA76" s="10" t="s">
        <v>65</v>
      </c>
      <c r="BC76" s="27">
        <f>AW76+AX76</f>
        <v>0</v>
      </c>
      <c r="BD76" s="27">
        <f>G76/(100-BE76)*100</f>
        <v>0</v>
      </c>
      <c r="BE76" s="27">
        <v>0</v>
      </c>
      <c r="BF76" s="27">
        <f>L76</f>
        <v>1.73448E-2</v>
      </c>
      <c r="BH76" s="27">
        <f>F76*AO76</f>
        <v>0</v>
      </c>
      <c r="BI76" s="27">
        <f>F76*AP76</f>
        <v>0</v>
      </c>
      <c r="BJ76" s="27">
        <f>F76*G76</f>
        <v>0</v>
      </c>
      <c r="BK76" s="29" t="s">
        <v>66</v>
      </c>
      <c r="BL76" s="27">
        <v>711</v>
      </c>
      <c r="BW76" s="27">
        <v>21</v>
      </c>
      <c r="BX76" s="4" t="s">
        <v>214</v>
      </c>
    </row>
    <row r="77" spans="1:76" ht="13.5" customHeight="1" x14ac:dyDescent="0.25">
      <c r="A77" s="30"/>
      <c r="C77" s="135" t="s">
        <v>217</v>
      </c>
      <c r="D77" s="136"/>
      <c r="E77" s="136"/>
      <c r="F77" s="136"/>
      <c r="G77" s="136"/>
      <c r="H77" s="136"/>
      <c r="I77" s="136"/>
      <c r="J77" s="136"/>
      <c r="K77" s="136"/>
      <c r="L77" s="136"/>
      <c r="M77" s="137"/>
    </row>
    <row r="78" spans="1:76" x14ac:dyDescent="0.25">
      <c r="A78" s="30"/>
      <c r="C78" s="31" t="s">
        <v>218</v>
      </c>
      <c r="D78" s="31" t="s">
        <v>219</v>
      </c>
      <c r="F78" s="32">
        <v>1.5840000000000001</v>
      </c>
      <c r="M78" s="33"/>
    </row>
    <row r="79" spans="1:76" x14ac:dyDescent="0.25">
      <c r="A79" s="2" t="s">
        <v>220</v>
      </c>
      <c r="B79" s="3" t="s">
        <v>221</v>
      </c>
      <c r="C79" s="80" t="s">
        <v>222</v>
      </c>
      <c r="D79" s="73"/>
      <c r="E79" s="3" t="s">
        <v>61</v>
      </c>
      <c r="F79" s="27">
        <v>1.5840000000000001</v>
      </c>
      <c r="G79" s="67">
        <v>0</v>
      </c>
      <c r="H79" s="27">
        <f>ROUND(F79*AO79,2)</f>
        <v>0</v>
      </c>
      <c r="I79" s="27">
        <f>ROUND(F79*AP79,2)</f>
        <v>0</v>
      </c>
      <c r="J79" s="27">
        <f>ROUND(F79*G79,2)</f>
        <v>0</v>
      </c>
      <c r="K79" s="27">
        <v>0</v>
      </c>
      <c r="L79" s="27">
        <f>F79*K79</f>
        <v>0</v>
      </c>
      <c r="M79" s="28" t="s">
        <v>62</v>
      </c>
      <c r="Z79" s="27">
        <f>ROUND(IF(AQ79="5",BJ79,0),2)</f>
        <v>0</v>
      </c>
      <c r="AB79" s="27">
        <f>ROUND(IF(AQ79="1",BH79,0),2)</f>
        <v>0</v>
      </c>
      <c r="AC79" s="27">
        <f>ROUND(IF(AQ79="1",BI79,0),2)</f>
        <v>0</v>
      </c>
      <c r="AD79" s="27">
        <f>ROUND(IF(AQ79="7",BH79,0),2)</f>
        <v>0</v>
      </c>
      <c r="AE79" s="27">
        <f>ROUND(IF(AQ79="7",BI79,0),2)</f>
        <v>0</v>
      </c>
      <c r="AF79" s="27">
        <f>ROUND(IF(AQ79="2",BH79,0),2)</f>
        <v>0</v>
      </c>
      <c r="AG79" s="27">
        <f>ROUND(IF(AQ79="2",BI79,0),2)</f>
        <v>0</v>
      </c>
      <c r="AH79" s="27">
        <f>ROUND(IF(AQ79="0",BJ79,0),2)</f>
        <v>0</v>
      </c>
      <c r="AI79" s="10" t="s">
        <v>55</v>
      </c>
      <c r="AJ79" s="27">
        <f>IF(AN79=0,J79,0)</f>
        <v>0</v>
      </c>
      <c r="AK79" s="27">
        <f>IF(AN79=12,J79,0)</f>
        <v>0</v>
      </c>
      <c r="AL79" s="27">
        <f>IF(AN79=21,J79,0)</f>
        <v>0</v>
      </c>
      <c r="AN79" s="27">
        <v>21</v>
      </c>
      <c r="AO79" s="27">
        <f>G79*0</f>
        <v>0</v>
      </c>
      <c r="AP79" s="27">
        <f>G79*(1-0)</f>
        <v>0</v>
      </c>
      <c r="AQ79" s="29" t="s">
        <v>117</v>
      </c>
      <c r="AV79" s="27">
        <f>ROUND(AW79+AX79,2)</f>
        <v>0</v>
      </c>
      <c r="AW79" s="27">
        <f>ROUND(F79*AO79,2)</f>
        <v>0</v>
      </c>
      <c r="AX79" s="27">
        <f>ROUND(F79*AP79,2)</f>
        <v>0</v>
      </c>
      <c r="AY79" s="29" t="s">
        <v>215</v>
      </c>
      <c r="AZ79" s="29" t="s">
        <v>216</v>
      </c>
      <c r="BA79" s="10" t="s">
        <v>65</v>
      </c>
      <c r="BC79" s="27">
        <f>AW79+AX79</f>
        <v>0</v>
      </c>
      <c r="BD79" s="27">
        <f>G79/(100-BE79)*100</f>
        <v>0</v>
      </c>
      <c r="BE79" s="27">
        <v>0</v>
      </c>
      <c r="BF79" s="27">
        <f>L79</f>
        <v>0</v>
      </c>
      <c r="BH79" s="27">
        <f>F79*AO79</f>
        <v>0</v>
      </c>
      <c r="BI79" s="27">
        <f>F79*AP79</f>
        <v>0</v>
      </c>
      <c r="BJ79" s="27">
        <f>F79*G79</f>
        <v>0</v>
      </c>
      <c r="BK79" s="29" t="s">
        <v>66</v>
      </c>
      <c r="BL79" s="27">
        <v>711</v>
      </c>
      <c r="BW79" s="27">
        <v>21</v>
      </c>
      <c r="BX79" s="4" t="s">
        <v>222</v>
      </c>
    </row>
    <row r="80" spans="1:76" x14ac:dyDescent="0.25">
      <c r="A80" s="30"/>
      <c r="C80" s="31" t="s">
        <v>218</v>
      </c>
      <c r="D80" s="31" t="s">
        <v>219</v>
      </c>
      <c r="F80" s="32">
        <v>1.5840000000000001</v>
      </c>
      <c r="M80" s="33"/>
    </row>
    <row r="81" spans="1:76" x14ac:dyDescent="0.25">
      <c r="A81" s="2" t="s">
        <v>223</v>
      </c>
      <c r="B81" s="3" t="s">
        <v>224</v>
      </c>
      <c r="C81" s="80" t="s">
        <v>225</v>
      </c>
      <c r="D81" s="73"/>
      <c r="E81" s="3" t="s">
        <v>120</v>
      </c>
      <c r="F81" s="27">
        <v>1.7000000000000001E-2</v>
      </c>
      <c r="G81" s="67">
        <v>0</v>
      </c>
      <c r="H81" s="27">
        <f>ROUND(F81*AO81,2)</f>
        <v>0</v>
      </c>
      <c r="I81" s="27">
        <f>ROUND(F81*AP81,2)</f>
        <v>0</v>
      </c>
      <c r="J81" s="27">
        <f>ROUND(F81*G81,2)</f>
        <v>0</v>
      </c>
      <c r="K81" s="27">
        <v>0</v>
      </c>
      <c r="L81" s="27">
        <f>F81*K81</f>
        <v>0</v>
      </c>
      <c r="M81" s="28" t="s">
        <v>62</v>
      </c>
      <c r="Z81" s="27">
        <f>ROUND(IF(AQ81="5",BJ81,0),2)</f>
        <v>0</v>
      </c>
      <c r="AB81" s="27">
        <f>ROUND(IF(AQ81="1",BH81,0),2)</f>
        <v>0</v>
      </c>
      <c r="AC81" s="27">
        <f>ROUND(IF(AQ81="1",BI81,0),2)</f>
        <v>0</v>
      </c>
      <c r="AD81" s="27">
        <f>ROUND(IF(AQ81="7",BH81,0),2)</f>
        <v>0</v>
      </c>
      <c r="AE81" s="27">
        <f>ROUND(IF(AQ81="7",BI81,0),2)</f>
        <v>0</v>
      </c>
      <c r="AF81" s="27">
        <f>ROUND(IF(AQ81="2",BH81,0),2)</f>
        <v>0</v>
      </c>
      <c r="AG81" s="27">
        <f>ROUND(IF(AQ81="2",BI81,0),2)</f>
        <v>0</v>
      </c>
      <c r="AH81" s="27">
        <f>ROUND(IF(AQ81="0",BJ81,0),2)</f>
        <v>0</v>
      </c>
      <c r="AI81" s="10" t="s">
        <v>55</v>
      </c>
      <c r="AJ81" s="27">
        <f>IF(AN81=0,J81,0)</f>
        <v>0</v>
      </c>
      <c r="AK81" s="27">
        <f>IF(AN81=12,J81,0)</f>
        <v>0</v>
      </c>
      <c r="AL81" s="27">
        <f>IF(AN81=21,J81,0)</f>
        <v>0</v>
      </c>
      <c r="AN81" s="27">
        <v>21</v>
      </c>
      <c r="AO81" s="27">
        <f>G81*0</f>
        <v>0</v>
      </c>
      <c r="AP81" s="27">
        <f>G81*(1-0)</f>
        <v>0</v>
      </c>
      <c r="AQ81" s="29" t="s">
        <v>100</v>
      </c>
      <c r="AV81" s="27">
        <f>ROUND(AW81+AX81,2)</f>
        <v>0</v>
      </c>
      <c r="AW81" s="27">
        <f>ROUND(F81*AO81,2)</f>
        <v>0</v>
      </c>
      <c r="AX81" s="27">
        <f>ROUND(F81*AP81,2)</f>
        <v>0</v>
      </c>
      <c r="AY81" s="29" t="s">
        <v>215</v>
      </c>
      <c r="AZ81" s="29" t="s">
        <v>216</v>
      </c>
      <c r="BA81" s="10" t="s">
        <v>65</v>
      </c>
      <c r="BC81" s="27">
        <f>AW81+AX81</f>
        <v>0</v>
      </c>
      <c r="BD81" s="27">
        <f>G81/(100-BE81)*100</f>
        <v>0</v>
      </c>
      <c r="BE81" s="27">
        <v>0</v>
      </c>
      <c r="BF81" s="27">
        <f>L81</f>
        <v>0</v>
      </c>
      <c r="BH81" s="27">
        <f>F81*AO81</f>
        <v>0</v>
      </c>
      <c r="BI81" s="27">
        <f>F81*AP81</f>
        <v>0</v>
      </c>
      <c r="BJ81" s="27">
        <f>F81*G81</f>
        <v>0</v>
      </c>
      <c r="BK81" s="29" t="s">
        <v>66</v>
      </c>
      <c r="BL81" s="27">
        <v>711</v>
      </c>
      <c r="BW81" s="27">
        <v>21</v>
      </c>
      <c r="BX81" s="4" t="s">
        <v>225</v>
      </c>
    </row>
    <row r="82" spans="1:76" x14ac:dyDescent="0.25">
      <c r="A82" s="34" t="s">
        <v>55</v>
      </c>
      <c r="B82" s="35" t="s">
        <v>226</v>
      </c>
      <c r="C82" s="133" t="s">
        <v>227</v>
      </c>
      <c r="D82" s="134"/>
      <c r="E82" s="36" t="s">
        <v>4</v>
      </c>
      <c r="F82" s="36" t="s">
        <v>4</v>
      </c>
      <c r="G82" s="36" t="s">
        <v>4</v>
      </c>
      <c r="H82" s="1">
        <f>ROUND(SUM(H83:H105),2)</f>
        <v>0</v>
      </c>
      <c r="I82" s="1">
        <f>ROUND(SUM(I83:I105),2)</f>
        <v>0</v>
      </c>
      <c r="J82" s="1">
        <f>ROUND(SUM(J83:J105),2)</f>
        <v>0</v>
      </c>
      <c r="K82" s="10" t="s">
        <v>55</v>
      </c>
      <c r="L82" s="1">
        <f>SUM(L83:L105)</f>
        <v>4.3962936099999999</v>
      </c>
      <c r="M82" s="37" t="s">
        <v>55</v>
      </c>
      <c r="AI82" s="10" t="s">
        <v>55</v>
      </c>
      <c r="AS82" s="1">
        <f>SUM(AJ83:AJ105)</f>
        <v>0</v>
      </c>
      <c r="AT82" s="1">
        <f>SUM(AK83:AK105)</f>
        <v>0</v>
      </c>
      <c r="AU82" s="1">
        <f>SUM(AL83:AL105)</f>
        <v>0</v>
      </c>
    </row>
    <row r="83" spans="1:76" x14ac:dyDescent="0.25">
      <c r="A83" s="2" t="s">
        <v>228</v>
      </c>
      <c r="B83" s="3" t="s">
        <v>229</v>
      </c>
      <c r="C83" s="80" t="s">
        <v>230</v>
      </c>
      <c r="D83" s="73"/>
      <c r="E83" s="3" t="s">
        <v>61</v>
      </c>
      <c r="F83" s="27">
        <v>88.594999999999999</v>
      </c>
      <c r="G83" s="67">
        <v>0</v>
      </c>
      <c r="H83" s="27">
        <f>ROUND(F83*AO83,2)</f>
        <v>0</v>
      </c>
      <c r="I83" s="27">
        <f>ROUND(F83*AP83,2)</f>
        <v>0</v>
      </c>
      <c r="J83" s="27">
        <f>ROUND(F83*G83,2)</f>
        <v>0</v>
      </c>
      <c r="K83" s="27">
        <v>1.4E-2</v>
      </c>
      <c r="L83" s="27">
        <f>F83*K83</f>
        <v>1.2403299999999999</v>
      </c>
      <c r="M83" s="28" t="s">
        <v>62</v>
      </c>
      <c r="Z83" s="27">
        <f>ROUND(IF(AQ83="5",BJ83,0),2)</f>
        <v>0</v>
      </c>
      <c r="AB83" s="27">
        <f>ROUND(IF(AQ83="1",BH83,0),2)</f>
        <v>0</v>
      </c>
      <c r="AC83" s="27">
        <f>ROUND(IF(AQ83="1",BI83,0),2)</f>
        <v>0</v>
      </c>
      <c r="AD83" s="27">
        <f>ROUND(IF(AQ83="7",BH83,0),2)</f>
        <v>0</v>
      </c>
      <c r="AE83" s="27">
        <f>ROUND(IF(AQ83="7",BI83,0),2)</f>
        <v>0</v>
      </c>
      <c r="AF83" s="27">
        <f>ROUND(IF(AQ83="2",BH83,0),2)</f>
        <v>0</v>
      </c>
      <c r="AG83" s="27">
        <f>ROUND(IF(AQ83="2",BI83,0),2)</f>
        <v>0</v>
      </c>
      <c r="AH83" s="27">
        <f>ROUND(IF(AQ83="0",BJ83,0),2)</f>
        <v>0</v>
      </c>
      <c r="AI83" s="10" t="s">
        <v>55</v>
      </c>
      <c r="AJ83" s="27">
        <f>IF(AN83=0,J83,0)</f>
        <v>0</v>
      </c>
      <c r="AK83" s="27">
        <f>IF(AN83=12,J83,0)</f>
        <v>0</v>
      </c>
      <c r="AL83" s="27">
        <f>IF(AN83=21,J83,0)</f>
        <v>0</v>
      </c>
      <c r="AN83" s="27">
        <v>21</v>
      </c>
      <c r="AO83" s="27">
        <f>G83*0</f>
        <v>0</v>
      </c>
      <c r="AP83" s="27">
        <f>G83*(1-0)</f>
        <v>0</v>
      </c>
      <c r="AQ83" s="29" t="s">
        <v>117</v>
      </c>
      <c r="AV83" s="27">
        <f>ROUND(AW83+AX83,2)</f>
        <v>0</v>
      </c>
      <c r="AW83" s="27">
        <f>ROUND(F83*AO83,2)</f>
        <v>0</v>
      </c>
      <c r="AX83" s="27">
        <f>ROUND(F83*AP83,2)</f>
        <v>0</v>
      </c>
      <c r="AY83" s="29" t="s">
        <v>231</v>
      </c>
      <c r="AZ83" s="29" t="s">
        <v>216</v>
      </c>
      <c r="BA83" s="10" t="s">
        <v>65</v>
      </c>
      <c r="BC83" s="27">
        <f>AW83+AX83</f>
        <v>0</v>
      </c>
      <c r="BD83" s="27">
        <f>G83/(100-BE83)*100</f>
        <v>0</v>
      </c>
      <c r="BE83" s="27">
        <v>0</v>
      </c>
      <c r="BF83" s="27">
        <f>L83</f>
        <v>1.2403299999999999</v>
      </c>
      <c r="BH83" s="27">
        <f>F83*AO83</f>
        <v>0</v>
      </c>
      <c r="BI83" s="27">
        <f>F83*AP83</f>
        <v>0</v>
      </c>
      <c r="BJ83" s="27">
        <f>F83*G83</f>
        <v>0</v>
      </c>
      <c r="BK83" s="29" t="s">
        <v>66</v>
      </c>
      <c r="BL83" s="27">
        <v>712</v>
      </c>
      <c r="BW83" s="27">
        <v>21</v>
      </c>
      <c r="BX83" s="4" t="s">
        <v>230</v>
      </c>
    </row>
    <row r="84" spans="1:76" x14ac:dyDescent="0.25">
      <c r="A84" s="30"/>
      <c r="C84" s="31" t="s">
        <v>232</v>
      </c>
      <c r="D84" s="31" t="s">
        <v>233</v>
      </c>
      <c r="F84" s="32">
        <v>26.39</v>
      </c>
      <c r="M84" s="33"/>
    </row>
    <row r="85" spans="1:76" x14ac:dyDescent="0.25">
      <c r="A85" s="30"/>
      <c r="C85" s="31" t="s">
        <v>234</v>
      </c>
      <c r="D85" s="31" t="s">
        <v>235</v>
      </c>
      <c r="F85" s="32">
        <v>62.204999999999998</v>
      </c>
      <c r="M85" s="33"/>
    </row>
    <row r="86" spans="1:76" x14ac:dyDescent="0.25">
      <c r="A86" s="2" t="s">
        <v>236</v>
      </c>
      <c r="B86" s="3" t="s">
        <v>237</v>
      </c>
      <c r="C86" s="80" t="s">
        <v>238</v>
      </c>
      <c r="D86" s="73"/>
      <c r="E86" s="3" t="s">
        <v>61</v>
      </c>
      <c r="F86" s="27">
        <v>239.37700000000001</v>
      </c>
      <c r="G86" s="67">
        <v>0</v>
      </c>
      <c r="H86" s="27">
        <f>ROUND(F86*AO86,2)</f>
        <v>0</v>
      </c>
      <c r="I86" s="27">
        <f>ROUND(F86*AP86,2)</f>
        <v>0</v>
      </c>
      <c r="J86" s="27">
        <f>ROUND(F86*G86,2)</f>
        <v>0</v>
      </c>
      <c r="K86" s="27">
        <v>6.6E-4</v>
      </c>
      <c r="L86" s="27">
        <f>F86*K86</f>
        <v>0.15798882</v>
      </c>
      <c r="M86" s="28" t="s">
        <v>62</v>
      </c>
      <c r="Z86" s="27">
        <f>ROUND(IF(AQ86="5",BJ86,0),2)</f>
        <v>0</v>
      </c>
      <c r="AB86" s="27">
        <f>ROUND(IF(AQ86="1",BH86,0),2)</f>
        <v>0</v>
      </c>
      <c r="AC86" s="27">
        <f>ROUND(IF(AQ86="1",BI86,0),2)</f>
        <v>0</v>
      </c>
      <c r="AD86" s="27">
        <f>ROUND(IF(AQ86="7",BH86,0),2)</f>
        <v>0</v>
      </c>
      <c r="AE86" s="27">
        <f>ROUND(IF(AQ86="7",BI86,0),2)</f>
        <v>0</v>
      </c>
      <c r="AF86" s="27">
        <f>ROUND(IF(AQ86="2",BH86,0),2)</f>
        <v>0</v>
      </c>
      <c r="AG86" s="27">
        <f>ROUND(IF(AQ86="2",BI86,0),2)</f>
        <v>0</v>
      </c>
      <c r="AH86" s="27">
        <f>ROUND(IF(AQ86="0",BJ86,0),2)</f>
        <v>0</v>
      </c>
      <c r="AI86" s="10" t="s">
        <v>55</v>
      </c>
      <c r="AJ86" s="27">
        <f>IF(AN86=0,J86,0)</f>
        <v>0</v>
      </c>
      <c r="AK86" s="27">
        <f>IF(AN86=12,J86,0)</f>
        <v>0</v>
      </c>
      <c r="AL86" s="27">
        <f>IF(AN86=21,J86,0)</f>
        <v>0</v>
      </c>
      <c r="AN86" s="27">
        <v>21</v>
      </c>
      <c r="AO86" s="27">
        <f>G86*0.590956163</f>
        <v>0</v>
      </c>
      <c r="AP86" s="27">
        <f>G86*(1-0.590956163)</f>
        <v>0</v>
      </c>
      <c r="AQ86" s="29" t="s">
        <v>117</v>
      </c>
      <c r="AV86" s="27">
        <f>ROUND(AW86+AX86,2)</f>
        <v>0</v>
      </c>
      <c r="AW86" s="27">
        <f>ROUND(F86*AO86,2)</f>
        <v>0</v>
      </c>
      <c r="AX86" s="27">
        <f>ROUND(F86*AP86,2)</f>
        <v>0</v>
      </c>
      <c r="AY86" s="29" t="s">
        <v>231</v>
      </c>
      <c r="AZ86" s="29" t="s">
        <v>216</v>
      </c>
      <c r="BA86" s="10" t="s">
        <v>65</v>
      </c>
      <c r="BC86" s="27">
        <f>AW86+AX86</f>
        <v>0</v>
      </c>
      <c r="BD86" s="27">
        <f>G86/(100-BE86)*100</f>
        <v>0</v>
      </c>
      <c r="BE86" s="27">
        <v>0</v>
      </c>
      <c r="BF86" s="27">
        <f>L86</f>
        <v>0.15798882</v>
      </c>
      <c r="BH86" s="27">
        <f>F86*AO86</f>
        <v>0</v>
      </c>
      <c r="BI86" s="27">
        <f>F86*AP86</f>
        <v>0</v>
      </c>
      <c r="BJ86" s="27">
        <f>F86*G86</f>
        <v>0</v>
      </c>
      <c r="BK86" s="29" t="s">
        <v>66</v>
      </c>
      <c r="BL86" s="27">
        <v>712</v>
      </c>
      <c r="BW86" s="27">
        <v>21</v>
      </c>
      <c r="BX86" s="4" t="s">
        <v>238</v>
      </c>
    </row>
    <row r="87" spans="1:76" ht="13.5" customHeight="1" x14ac:dyDescent="0.25">
      <c r="A87" s="30"/>
      <c r="C87" s="135" t="s">
        <v>239</v>
      </c>
      <c r="D87" s="136"/>
      <c r="E87" s="136"/>
      <c r="F87" s="136"/>
      <c r="G87" s="136"/>
      <c r="H87" s="136"/>
      <c r="I87" s="136"/>
      <c r="J87" s="136"/>
      <c r="K87" s="136"/>
      <c r="L87" s="136"/>
      <c r="M87" s="137"/>
    </row>
    <row r="88" spans="1:76" x14ac:dyDescent="0.25">
      <c r="A88" s="30"/>
      <c r="C88" s="31" t="s">
        <v>240</v>
      </c>
      <c r="D88" s="31" t="s">
        <v>241</v>
      </c>
      <c r="F88" s="32">
        <v>96.957999999999998</v>
      </c>
      <c r="M88" s="33"/>
    </row>
    <row r="89" spans="1:76" x14ac:dyDescent="0.25">
      <c r="A89" s="30"/>
      <c r="C89" s="31" t="s">
        <v>242</v>
      </c>
      <c r="D89" s="31" t="s">
        <v>243</v>
      </c>
      <c r="F89" s="32">
        <v>142.41900000000001</v>
      </c>
      <c r="M89" s="33"/>
    </row>
    <row r="90" spans="1:76" x14ac:dyDescent="0.25">
      <c r="A90" s="2" t="s">
        <v>244</v>
      </c>
      <c r="B90" s="3" t="s">
        <v>245</v>
      </c>
      <c r="C90" s="80" t="s">
        <v>246</v>
      </c>
      <c r="D90" s="73"/>
      <c r="E90" s="3" t="s">
        <v>61</v>
      </c>
      <c r="F90" s="27">
        <v>230.82900000000001</v>
      </c>
      <c r="G90" s="67">
        <v>0</v>
      </c>
      <c r="H90" s="27">
        <f>ROUND(F90*AO90,2)</f>
        <v>0</v>
      </c>
      <c r="I90" s="27">
        <f>ROUND(F90*AP90,2)</f>
        <v>0</v>
      </c>
      <c r="J90" s="27">
        <f>ROUND(F90*G90,2)</f>
        <v>0</v>
      </c>
      <c r="K90" s="27">
        <v>4.0299999999999997E-3</v>
      </c>
      <c r="L90" s="27">
        <f>F90*K90</f>
        <v>0.93024087</v>
      </c>
      <c r="M90" s="28" t="s">
        <v>62</v>
      </c>
      <c r="Z90" s="27">
        <f>ROUND(IF(AQ90="5",BJ90,0),2)</f>
        <v>0</v>
      </c>
      <c r="AB90" s="27">
        <f>ROUND(IF(AQ90="1",BH90,0),2)</f>
        <v>0</v>
      </c>
      <c r="AC90" s="27">
        <f>ROUND(IF(AQ90="1",BI90,0),2)</f>
        <v>0</v>
      </c>
      <c r="AD90" s="27">
        <f>ROUND(IF(AQ90="7",BH90,0),2)</f>
        <v>0</v>
      </c>
      <c r="AE90" s="27">
        <f>ROUND(IF(AQ90="7",BI90,0),2)</f>
        <v>0</v>
      </c>
      <c r="AF90" s="27">
        <f>ROUND(IF(AQ90="2",BH90,0),2)</f>
        <v>0</v>
      </c>
      <c r="AG90" s="27">
        <f>ROUND(IF(AQ90="2",BI90,0),2)</f>
        <v>0</v>
      </c>
      <c r="AH90" s="27">
        <f>ROUND(IF(AQ90="0",BJ90,0),2)</f>
        <v>0</v>
      </c>
      <c r="AI90" s="10" t="s">
        <v>55</v>
      </c>
      <c r="AJ90" s="27">
        <f>IF(AN90=0,J90,0)</f>
        <v>0</v>
      </c>
      <c r="AK90" s="27">
        <f>IF(AN90=12,J90,0)</f>
        <v>0</v>
      </c>
      <c r="AL90" s="27">
        <f>IF(AN90=21,J90,0)</f>
        <v>0</v>
      </c>
      <c r="AN90" s="27">
        <v>21</v>
      </c>
      <c r="AO90" s="27">
        <f>G90*0.659298288</f>
        <v>0</v>
      </c>
      <c r="AP90" s="27">
        <f>G90*(1-0.659298288)</f>
        <v>0</v>
      </c>
      <c r="AQ90" s="29" t="s">
        <v>117</v>
      </c>
      <c r="AV90" s="27">
        <f>ROUND(AW90+AX90,2)</f>
        <v>0</v>
      </c>
      <c r="AW90" s="27">
        <f>ROUND(F90*AO90,2)</f>
        <v>0</v>
      </c>
      <c r="AX90" s="27">
        <f>ROUND(F90*AP90,2)</f>
        <v>0</v>
      </c>
      <c r="AY90" s="29" t="s">
        <v>231</v>
      </c>
      <c r="AZ90" s="29" t="s">
        <v>216</v>
      </c>
      <c r="BA90" s="10" t="s">
        <v>65</v>
      </c>
      <c r="BC90" s="27">
        <f>AW90+AX90</f>
        <v>0</v>
      </c>
      <c r="BD90" s="27">
        <f>G90/(100-BE90)*100</f>
        <v>0</v>
      </c>
      <c r="BE90" s="27">
        <v>0</v>
      </c>
      <c r="BF90" s="27">
        <f>L90</f>
        <v>0.93024087</v>
      </c>
      <c r="BH90" s="27">
        <f>F90*AO90</f>
        <v>0</v>
      </c>
      <c r="BI90" s="27">
        <f>F90*AP90</f>
        <v>0</v>
      </c>
      <c r="BJ90" s="27">
        <f>F90*G90</f>
        <v>0</v>
      </c>
      <c r="BK90" s="29" t="s">
        <v>66</v>
      </c>
      <c r="BL90" s="27">
        <v>712</v>
      </c>
      <c r="BW90" s="27">
        <v>21</v>
      </c>
      <c r="BX90" s="4" t="s">
        <v>246</v>
      </c>
    </row>
    <row r="91" spans="1:76" ht="13.5" customHeight="1" x14ac:dyDescent="0.25">
      <c r="A91" s="30"/>
      <c r="C91" s="135" t="s">
        <v>247</v>
      </c>
      <c r="D91" s="136"/>
      <c r="E91" s="136"/>
      <c r="F91" s="136"/>
      <c r="G91" s="136"/>
      <c r="H91" s="136"/>
      <c r="I91" s="136"/>
      <c r="J91" s="136"/>
      <c r="K91" s="136"/>
      <c r="L91" s="136"/>
      <c r="M91" s="137"/>
    </row>
    <row r="92" spans="1:76" x14ac:dyDescent="0.25">
      <c r="A92" s="30"/>
      <c r="C92" s="31" t="s">
        <v>248</v>
      </c>
      <c r="D92" s="31" t="s">
        <v>241</v>
      </c>
      <c r="F92" s="32">
        <v>93.495999999999995</v>
      </c>
      <c r="M92" s="33"/>
    </row>
    <row r="93" spans="1:76" x14ac:dyDescent="0.25">
      <c r="A93" s="30"/>
      <c r="C93" s="31" t="s">
        <v>249</v>
      </c>
      <c r="D93" s="31" t="s">
        <v>243</v>
      </c>
      <c r="F93" s="32">
        <v>137.333</v>
      </c>
      <c r="M93" s="33"/>
    </row>
    <row r="94" spans="1:76" x14ac:dyDescent="0.25">
      <c r="A94" s="2" t="s">
        <v>250</v>
      </c>
      <c r="B94" s="3" t="s">
        <v>251</v>
      </c>
      <c r="C94" s="80" t="s">
        <v>252</v>
      </c>
      <c r="D94" s="73"/>
      <c r="E94" s="3" t="s">
        <v>61</v>
      </c>
      <c r="F94" s="27">
        <v>194.529</v>
      </c>
      <c r="G94" s="67">
        <v>0</v>
      </c>
      <c r="H94" s="27">
        <f>ROUND(F94*AO94,2)</f>
        <v>0</v>
      </c>
      <c r="I94" s="27">
        <f>ROUND(F94*AP94,2)</f>
        <v>0</v>
      </c>
      <c r="J94" s="27">
        <f>ROUND(F94*G94,2)</f>
        <v>0</v>
      </c>
      <c r="K94" s="27">
        <v>4.5999999999999999E-3</v>
      </c>
      <c r="L94" s="27">
        <f>F94*K94</f>
        <v>0.8948334</v>
      </c>
      <c r="M94" s="28" t="s">
        <v>62</v>
      </c>
      <c r="Z94" s="27">
        <f>ROUND(IF(AQ94="5",BJ94,0),2)</f>
        <v>0</v>
      </c>
      <c r="AB94" s="27">
        <f>ROUND(IF(AQ94="1",BH94,0),2)</f>
        <v>0</v>
      </c>
      <c r="AC94" s="27">
        <f>ROUND(IF(AQ94="1",BI94,0),2)</f>
        <v>0</v>
      </c>
      <c r="AD94" s="27">
        <f>ROUND(IF(AQ94="7",BH94,0),2)</f>
        <v>0</v>
      </c>
      <c r="AE94" s="27">
        <f>ROUND(IF(AQ94="7",BI94,0),2)</f>
        <v>0</v>
      </c>
      <c r="AF94" s="27">
        <f>ROUND(IF(AQ94="2",BH94,0),2)</f>
        <v>0</v>
      </c>
      <c r="AG94" s="27">
        <f>ROUND(IF(AQ94="2",BI94,0),2)</f>
        <v>0</v>
      </c>
      <c r="AH94" s="27">
        <f>ROUND(IF(AQ94="0",BJ94,0),2)</f>
        <v>0</v>
      </c>
      <c r="AI94" s="10" t="s">
        <v>55</v>
      </c>
      <c r="AJ94" s="27">
        <f>IF(AN94=0,J94,0)</f>
        <v>0</v>
      </c>
      <c r="AK94" s="27">
        <f>IF(AN94=12,J94,0)</f>
        <v>0</v>
      </c>
      <c r="AL94" s="27">
        <f>IF(AN94=21,J94,0)</f>
        <v>0</v>
      </c>
      <c r="AN94" s="27">
        <v>21</v>
      </c>
      <c r="AO94" s="27">
        <f>G94*0.536040844</f>
        <v>0</v>
      </c>
      <c r="AP94" s="27">
        <f>G94*(1-0.536040844)</f>
        <v>0</v>
      </c>
      <c r="AQ94" s="29" t="s">
        <v>117</v>
      </c>
      <c r="AV94" s="27">
        <f>ROUND(AW94+AX94,2)</f>
        <v>0</v>
      </c>
      <c r="AW94" s="27">
        <f>ROUND(F94*AO94,2)</f>
        <v>0</v>
      </c>
      <c r="AX94" s="27">
        <f>ROUND(F94*AP94,2)</f>
        <v>0</v>
      </c>
      <c r="AY94" s="29" t="s">
        <v>231</v>
      </c>
      <c r="AZ94" s="29" t="s">
        <v>216</v>
      </c>
      <c r="BA94" s="10" t="s">
        <v>65</v>
      </c>
      <c r="BC94" s="27">
        <f>AW94+AX94</f>
        <v>0</v>
      </c>
      <c r="BD94" s="27">
        <f>G94/(100-BE94)*100</f>
        <v>0</v>
      </c>
      <c r="BE94" s="27">
        <v>0</v>
      </c>
      <c r="BF94" s="27">
        <f>L94</f>
        <v>0.8948334</v>
      </c>
      <c r="BH94" s="27">
        <f>F94*AO94</f>
        <v>0</v>
      </c>
      <c r="BI94" s="27">
        <f>F94*AP94</f>
        <v>0</v>
      </c>
      <c r="BJ94" s="27">
        <f>F94*G94</f>
        <v>0</v>
      </c>
      <c r="BK94" s="29" t="s">
        <v>66</v>
      </c>
      <c r="BL94" s="27">
        <v>712</v>
      </c>
      <c r="BW94" s="27">
        <v>21</v>
      </c>
      <c r="BX94" s="4" t="s">
        <v>252</v>
      </c>
    </row>
    <row r="95" spans="1:76" ht="13.5" customHeight="1" x14ac:dyDescent="0.25">
      <c r="A95" s="30"/>
      <c r="C95" s="135" t="s">
        <v>253</v>
      </c>
      <c r="D95" s="136"/>
      <c r="E95" s="136"/>
      <c r="F95" s="136"/>
      <c r="G95" s="136"/>
      <c r="H95" s="136"/>
      <c r="I95" s="136"/>
      <c r="J95" s="136"/>
      <c r="K95" s="136"/>
      <c r="L95" s="136"/>
      <c r="M95" s="137"/>
    </row>
    <row r="96" spans="1:76" x14ac:dyDescent="0.25">
      <c r="A96" s="30"/>
      <c r="C96" s="31" t="s">
        <v>254</v>
      </c>
      <c r="D96" s="31" t="s">
        <v>241</v>
      </c>
      <c r="F96" s="32">
        <v>37.021999999999998</v>
      </c>
      <c r="M96" s="33"/>
    </row>
    <row r="97" spans="1:76" x14ac:dyDescent="0.25">
      <c r="A97" s="30"/>
      <c r="C97" s="31" t="s">
        <v>255</v>
      </c>
      <c r="D97" s="31" t="s">
        <v>243</v>
      </c>
      <c r="F97" s="32">
        <v>157.50700000000001</v>
      </c>
      <c r="M97" s="33"/>
    </row>
    <row r="98" spans="1:76" x14ac:dyDescent="0.25">
      <c r="A98" s="2" t="s">
        <v>256</v>
      </c>
      <c r="B98" s="3" t="s">
        <v>257</v>
      </c>
      <c r="C98" s="80" t="s">
        <v>258</v>
      </c>
      <c r="D98" s="73"/>
      <c r="E98" s="3" t="s">
        <v>61</v>
      </c>
      <c r="F98" s="27">
        <v>194.529</v>
      </c>
      <c r="G98" s="67">
        <v>0</v>
      </c>
      <c r="H98" s="27">
        <f>ROUND(F98*AO98,2)</f>
        <v>0</v>
      </c>
      <c r="I98" s="27">
        <f>ROUND(F98*AP98,2)</f>
        <v>0</v>
      </c>
      <c r="J98" s="27">
        <f>ROUND(F98*G98,2)</f>
        <v>0</v>
      </c>
      <c r="K98" s="27">
        <v>5.8799999999999998E-3</v>
      </c>
      <c r="L98" s="27">
        <f>F98*K98</f>
        <v>1.1438305199999999</v>
      </c>
      <c r="M98" s="28" t="s">
        <v>62</v>
      </c>
      <c r="Z98" s="27">
        <f>ROUND(IF(AQ98="5",BJ98,0),2)</f>
        <v>0</v>
      </c>
      <c r="AB98" s="27">
        <f>ROUND(IF(AQ98="1",BH98,0),2)</f>
        <v>0</v>
      </c>
      <c r="AC98" s="27">
        <f>ROUND(IF(AQ98="1",BI98,0),2)</f>
        <v>0</v>
      </c>
      <c r="AD98" s="27">
        <f>ROUND(IF(AQ98="7",BH98,0),2)</f>
        <v>0</v>
      </c>
      <c r="AE98" s="27">
        <f>ROUND(IF(AQ98="7",BI98,0),2)</f>
        <v>0</v>
      </c>
      <c r="AF98" s="27">
        <f>ROUND(IF(AQ98="2",BH98,0),2)</f>
        <v>0</v>
      </c>
      <c r="AG98" s="27">
        <f>ROUND(IF(AQ98="2",BI98,0),2)</f>
        <v>0</v>
      </c>
      <c r="AH98" s="27">
        <f>ROUND(IF(AQ98="0",BJ98,0),2)</f>
        <v>0</v>
      </c>
      <c r="AI98" s="10" t="s">
        <v>55</v>
      </c>
      <c r="AJ98" s="27">
        <f>IF(AN98=0,J98,0)</f>
        <v>0</v>
      </c>
      <c r="AK98" s="27">
        <f>IF(AN98=12,J98,0)</f>
        <v>0</v>
      </c>
      <c r="AL98" s="27">
        <f>IF(AN98=21,J98,0)</f>
        <v>0</v>
      </c>
      <c r="AN98" s="27">
        <v>21</v>
      </c>
      <c r="AO98" s="27">
        <f>G98*0.751180603</f>
        <v>0</v>
      </c>
      <c r="AP98" s="27">
        <f>G98*(1-0.751180603)</f>
        <v>0</v>
      </c>
      <c r="AQ98" s="29" t="s">
        <v>117</v>
      </c>
      <c r="AV98" s="27">
        <f>ROUND(AW98+AX98,2)</f>
        <v>0</v>
      </c>
      <c r="AW98" s="27">
        <f>ROUND(F98*AO98,2)</f>
        <v>0</v>
      </c>
      <c r="AX98" s="27">
        <f>ROUND(F98*AP98,2)</f>
        <v>0</v>
      </c>
      <c r="AY98" s="29" t="s">
        <v>231</v>
      </c>
      <c r="AZ98" s="29" t="s">
        <v>216</v>
      </c>
      <c r="BA98" s="10" t="s">
        <v>65</v>
      </c>
      <c r="BC98" s="27">
        <f>AW98+AX98</f>
        <v>0</v>
      </c>
      <c r="BD98" s="27">
        <f>G98/(100-BE98)*100</f>
        <v>0</v>
      </c>
      <c r="BE98" s="27">
        <v>0</v>
      </c>
      <c r="BF98" s="27">
        <f>L98</f>
        <v>1.1438305199999999</v>
      </c>
      <c r="BH98" s="27">
        <f>F98*AO98</f>
        <v>0</v>
      </c>
      <c r="BI98" s="27">
        <f>F98*AP98</f>
        <v>0</v>
      </c>
      <c r="BJ98" s="27">
        <f>F98*G98</f>
        <v>0</v>
      </c>
      <c r="BK98" s="29" t="s">
        <v>66</v>
      </c>
      <c r="BL98" s="27">
        <v>712</v>
      </c>
      <c r="BW98" s="27">
        <v>21</v>
      </c>
      <c r="BX98" s="4" t="s">
        <v>258</v>
      </c>
    </row>
    <row r="99" spans="1:76" ht="13.5" customHeight="1" x14ac:dyDescent="0.25">
      <c r="A99" s="30"/>
      <c r="C99" s="135" t="s">
        <v>259</v>
      </c>
      <c r="D99" s="136"/>
      <c r="E99" s="136"/>
      <c r="F99" s="136"/>
      <c r="G99" s="136"/>
      <c r="H99" s="136"/>
      <c r="I99" s="136"/>
      <c r="J99" s="136"/>
      <c r="K99" s="136"/>
      <c r="L99" s="136"/>
      <c r="M99" s="137"/>
    </row>
    <row r="100" spans="1:76" x14ac:dyDescent="0.25">
      <c r="A100" s="30"/>
      <c r="C100" s="31" t="s">
        <v>254</v>
      </c>
      <c r="D100" s="31" t="s">
        <v>241</v>
      </c>
      <c r="F100" s="32">
        <v>37.021999999999998</v>
      </c>
      <c r="M100" s="33"/>
    </row>
    <row r="101" spans="1:76" x14ac:dyDescent="0.25">
      <c r="A101" s="30"/>
      <c r="C101" s="31" t="s">
        <v>255</v>
      </c>
      <c r="D101" s="31" t="s">
        <v>243</v>
      </c>
      <c r="F101" s="32">
        <v>157.50700000000001</v>
      </c>
      <c r="M101" s="33"/>
    </row>
    <row r="102" spans="1:76" ht="25.5" x14ac:dyDescent="0.25">
      <c r="A102" s="2" t="s">
        <v>260</v>
      </c>
      <c r="B102" s="3" t="s">
        <v>261</v>
      </c>
      <c r="C102" s="80" t="s">
        <v>262</v>
      </c>
      <c r="D102" s="73"/>
      <c r="E102" s="3" t="s">
        <v>103</v>
      </c>
      <c r="F102" s="27">
        <v>3</v>
      </c>
      <c r="G102" s="67">
        <v>0</v>
      </c>
      <c r="H102" s="27">
        <f>ROUND(F102*AO102,2)</f>
        <v>0</v>
      </c>
      <c r="I102" s="27">
        <f>ROUND(F102*AP102,2)</f>
        <v>0</v>
      </c>
      <c r="J102" s="27">
        <f>ROUND(F102*G102,2)</f>
        <v>0</v>
      </c>
      <c r="K102" s="27">
        <v>9.6900000000000007E-3</v>
      </c>
      <c r="L102" s="27">
        <f>F102*K102</f>
        <v>2.9070000000000002E-2</v>
      </c>
      <c r="M102" s="28" t="s">
        <v>62</v>
      </c>
      <c r="Z102" s="27">
        <f>ROUND(IF(AQ102="5",BJ102,0),2)</f>
        <v>0</v>
      </c>
      <c r="AB102" s="27">
        <f>ROUND(IF(AQ102="1",BH102,0),2)</f>
        <v>0</v>
      </c>
      <c r="AC102" s="27">
        <f>ROUND(IF(AQ102="1",BI102,0),2)</f>
        <v>0</v>
      </c>
      <c r="AD102" s="27">
        <f>ROUND(IF(AQ102="7",BH102,0),2)</f>
        <v>0</v>
      </c>
      <c r="AE102" s="27">
        <f>ROUND(IF(AQ102="7",BI102,0),2)</f>
        <v>0</v>
      </c>
      <c r="AF102" s="27">
        <f>ROUND(IF(AQ102="2",BH102,0),2)</f>
        <v>0</v>
      </c>
      <c r="AG102" s="27">
        <f>ROUND(IF(AQ102="2",BI102,0),2)</f>
        <v>0</v>
      </c>
      <c r="AH102" s="27">
        <f>ROUND(IF(AQ102="0",BJ102,0),2)</f>
        <v>0</v>
      </c>
      <c r="AI102" s="10" t="s">
        <v>55</v>
      </c>
      <c r="AJ102" s="27">
        <f>IF(AN102=0,J102,0)</f>
        <v>0</v>
      </c>
      <c r="AK102" s="27">
        <f>IF(AN102=12,J102,0)</f>
        <v>0</v>
      </c>
      <c r="AL102" s="27">
        <f>IF(AN102=21,J102,0)</f>
        <v>0</v>
      </c>
      <c r="AN102" s="27">
        <v>21</v>
      </c>
      <c r="AO102" s="27">
        <f>G102*0.318146695</f>
        <v>0</v>
      </c>
      <c r="AP102" s="27">
        <f>G102*(1-0.318146695)</f>
        <v>0</v>
      </c>
      <c r="AQ102" s="29" t="s">
        <v>117</v>
      </c>
      <c r="AV102" s="27">
        <f>ROUND(AW102+AX102,2)</f>
        <v>0</v>
      </c>
      <c r="AW102" s="27">
        <f>ROUND(F102*AO102,2)</f>
        <v>0</v>
      </c>
      <c r="AX102" s="27">
        <f>ROUND(F102*AP102,2)</f>
        <v>0</v>
      </c>
      <c r="AY102" s="29" t="s">
        <v>231</v>
      </c>
      <c r="AZ102" s="29" t="s">
        <v>216</v>
      </c>
      <c r="BA102" s="10" t="s">
        <v>65</v>
      </c>
      <c r="BC102" s="27">
        <f>AW102+AX102</f>
        <v>0</v>
      </c>
      <c r="BD102" s="27">
        <f>G102/(100-BE102)*100</f>
        <v>0</v>
      </c>
      <c r="BE102" s="27">
        <v>0</v>
      </c>
      <c r="BF102" s="27">
        <f>L102</f>
        <v>2.9070000000000002E-2</v>
      </c>
      <c r="BH102" s="27">
        <f>F102*AO102</f>
        <v>0</v>
      </c>
      <c r="BI102" s="27">
        <f>F102*AP102</f>
        <v>0</v>
      </c>
      <c r="BJ102" s="27">
        <f>F102*G102</f>
        <v>0</v>
      </c>
      <c r="BK102" s="29" t="s">
        <v>66</v>
      </c>
      <c r="BL102" s="27">
        <v>712</v>
      </c>
      <c r="BW102" s="27">
        <v>21</v>
      </c>
      <c r="BX102" s="4" t="s">
        <v>262</v>
      </c>
    </row>
    <row r="103" spans="1:76" ht="13.5" customHeight="1" x14ac:dyDescent="0.25">
      <c r="A103" s="30"/>
      <c r="C103" s="135" t="s">
        <v>263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7"/>
    </row>
    <row r="104" spans="1:76" x14ac:dyDescent="0.25">
      <c r="A104" s="30"/>
      <c r="C104" s="31" t="s">
        <v>82</v>
      </c>
      <c r="D104" s="31" t="s">
        <v>264</v>
      </c>
      <c r="F104" s="32">
        <v>3</v>
      </c>
      <c r="M104" s="33"/>
    </row>
    <row r="105" spans="1:76" x14ac:dyDescent="0.25">
      <c r="A105" s="2" t="s">
        <v>265</v>
      </c>
      <c r="B105" s="3" t="s">
        <v>266</v>
      </c>
      <c r="C105" s="80" t="s">
        <v>267</v>
      </c>
      <c r="D105" s="73"/>
      <c r="E105" s="3" t="s">
        <v>120</v>
      </c>
      <c r="F105" s="27">
        <v>3.1560000000000001</v>
      </c>
      <c r="G105" s="67">
        <v>0</v>
      </c>
      <c r="H105" s="27">
        <f>ROUND(F105*AO105,2)</f>
        <v>0</v>
      </c>
      <c r="I105" s="27">
        <f>ROUND(F105*AP105,2)</f>
        <v>0</v>
      </c>
      <c r="J105" s="27">
        <f>ROUND(F105*G105,2)</f>
        <v>0</v>
      </c>
      <c r="K105" s="27">
        <v>0</v>
      </c>
      <c r="L105" s="27">
        <f>F105*K105</f>
        <v>0</v>
      </c>
      <c r="M105" s="28" t="s">
        <v>62</v>
      </c>
      <c r="Z105" s="27">
        <f>ROUND(IF(AQ105="5",BJ105,0),2)</f>
        <v>0</v>
      </c>
      <c r="AB105" s="27">
        <f>ROUND(IF(AQ105="1",BH105,0),2)</f>
        <v>0</v>
      </c>
      <c r="AC105" s="27">
        <f>ROUND(IF(AQ105="1",BI105,0),2)</f>
        <v>0</v>
      </c>
      <c r="AD105" s="27">
        <f>ROUND(IF(AQ105="7",BH105,0),2)</f>
        <v>0</v>
      </c>
      <c r="AE105" s="27">
        <f>ROUND(IF(AQ105="7",BI105,0),2)</f>
        <v>0</v>
      </c>
      <c r="AF105" s="27">
        <f>ROUND(IF(AQ105="2",BH105,0),2)</f>
        <v>0</v>
      </c>
      <c r="AG105" s="27">
        <f>ROUND(IF(AQ105="2",BI105,0),2)</f>
        <v>0</v>
      </c>
      <c r="AH105" s="27">
        <f>ROUND(IF(AQ105="0",BJ105,0),2)</f>
        <v>0</v>
      </c>
      <c r="AI105" s="10" t="s">
        <v>55</v>
      </c>
      <c r="AJ105" s="27">
        <f>IF(AN105=0,J105,0)</f>
        <v>0</v>
      </c>
      <c r="AK105" s="27">
        <f>IF(AN105=12,J105,0)</f>
        <v>0</v>
      </c>
      <c r="AL105" s="27">
        <f>IF(AN105=21,J105,0)</f>
        <v>0</v>
      </c>
      <c r="AN105" s="27">
        <v>21</v>
      </c>
      <c r="AO105" s="27">
        <f>G105*0</f>
        <v>0</v>
      </c>
      <c r="AP105" s="27">
        <f>G105*(1-0)</f>
        <v>0</v>
      </c>
      <c r="AQ105" s="29" t="s">
        <v>100</v>
      </c>
      <c r="AV105" s="27">
        <f>ROUND(AW105+AX105,2)</f>
        <v>0</v>
      </c>
      <c r="AW105" s="27">
        <f>ROUND(F105*AO105,2)</f>
        <v>0</v>
      </c>
      <c r="AX105" s="27">
        <f>ROUND(F105*AP105,2)</f>
        <v>0</v>
      </c>
      <c r="AY105" s="29" t="s">
        <v>231</v>
      </c>
      <c r="AZ105" s="29" t="s">
        <v>216</v>
      </c>
      <c r="BA105" s="10" t="s">
        <v>65</v>
      </c>
      <c r="BC105" s="27">
        <f>AW105+AX105</f>
        <v>0</v>
      </c>
      <c r="BD105" s="27">
        <f>G105/(100-BE105)*100</f>
        <v>0</v>
      </c>
      <c r="BE105" s="27">
        <v>0</v>
      </c>
      <c r="BF105" s="27">
        <f>L105</f>
        <v>0</v>
      </c>
      <c r="BH105" s="27">
        <f>F105*AO105</f>
        <v>0</v>
      </c>
      <c r="BI105" s="27">
        <f>F105*AP105</f>
        <v>0</v>
      </c>
      <c r="BJ105" s="27">
        <f>F105*G105</f>
        <v>0</v>
      </c>
      <c r="BK105" s="29" t="s">
        <v>66</v>
      </c>
      <c r="BL105" s="27">
        <v>712</v>
      </c>
      <c r="BW105" s="27">
        <v>21</v>
      </c>
      <c r="BX105" s="4" t="s">
        <v>267</v>
      </c>
    </row>
    <row r="106" spans="1:76" x14ac:dyDescent="0.25">
      <c r="A106" s="34" t="s">
        <v>55</v>
      </c>
      <c r="B106" s="35" t="s">
        <v>268</v>
      </c>
      <c r="C106" s="133" t="s">
        <v>269</v>
      </c>
      <c r="D106" s="134"/>
      <c r="E106" s="36" t="s">
        <v>4</v>
      </c>
      <c r="F106" s="36" t="s">
        <v>4</v>
      </c>
      <c r="G106" s="36" t="s">
        <v>4</v>
      </c>
      <c r="H106" s="1">
        <f>ROUND(SUM(H107:H127),2)</f>
        <v>0</v>
      </c>
      <c r="I106" s="1">
        <f>ROUND(SUM(I107:I127),2)</f>
        <v>0</v>
      </c>
      <c r="J106" s="1">
        <f>ROUND(SUM(J107:J127),2)</f>
        <v>0</v>
      </c>
      <c r="K106" s="10" t="s">
        <v>55</v>
      </c>
      <c r="L106" s="1">
        <f>SUM(L107:L127)</f>
        <v>1.12306964</v>
      </c>
      <c r="M106" s="37" t="s">
        <v>55</v>
      </c>
      <c r="AI106" s="10" t="s">
        <v>55</v>
      </c>
      <c r="AS106" s="1">
        <f>SUM(AJ107:AJ127)</f>
        <v>0</v>
      </c>
      <c r="AT106" s="1">
        <f>SUM(AK107:AK127)</f>
        <v>0</v>
      </c>
      <c r="AU106" s="1">
        <f>SUM(AL107:AL127)</f>
        <v>0</v>
      </c>
    </row>
    <row r="107" spans="1:76" x14ac:dyDescent="0.25">
      <c r="A107" s="2" t="s">
        <v>270</v>
      </c>
      <c r="B107" s="3" t="s">
        <v>271</v>
      </c>
      <c r="C107" s="80" t="s">
        <v>272</v>
      </c>
      <c r="D107" s="73"/>
      <c r="E107" s="3" t="s">
        <v>61</v>
      </c>
      <c r="F107" s="27">
        <v>62.204999999999998</v>
      </c>
      <c r="G107" s="67">
        <v>0</v>
      </c>
      <c r="H107" s="27">
        <f>ROUND(F107*AO107,2)</f>
        <v>0</v>
      </c>
      <c r="I107" s="27">
        <f>ROUND(F107*AP107,2)</f>
        <v>0</v>
      </c>
      <c r="J107" s="27">
        <f>ROUND(F107*G107,2)</f>
        <v>0</v>
      </c>
      <c r="K107" s="27">
        <v>4.0000000000000001E-3</v>
      </c>
      <c r="L107" s="27">
        <f>F107*K107</f>
        <v>0.24881999999999999</v>
      </c>
      <c r="M107" s="28" t="s">
        <v>62</v>
      </c>
      <c r="Z107" s="27">
        <f>ROUND(IF(AQ107="5",BJ107,0),2)</f>
        <v>0</v>
      </c>
      <c r="AB107" s="27">
        <f>ROUND(IF(AQ107="1",BH107,0),2)</f>
        <v>0</v>
      </c>
      <c r="AC107" s="27">
        <f>ROUND(IF(AQ107="1",BI107,0),2)</f>
        <v>0</v>
      </c>
      <c r="AD107" s="27">
        <f>ROUND(IF(AQ107="7",BH107,0),2)</f>
        <v>0</v>
      </c>
      <c r="AE107" s="27">
        <f>ROUND(IF(AQ107="7",BI107,0),2)</f>
        <v>0</v>
      </c>
      <c r="AF107" s="27">
        <f>ROUND(IF(AQ107="2",BH107,0),2)</f>
        <v>0</v>
      </c>
      <c r="AG107" s="27">
        <f>ROUND(IF(AQ107="2",BI107,0),2)</f>
        <v>0</v>
      </c>
      <c r="AH107" s="27">
        <f>ROUND(IF(AQ107="0",BJ107,0),2)</f>
        <v>0</v>
      </c>
      <c r="AI107" s="10" t="s">
        <v>55</v>
      </c>
      <c r="AJ107" s="27">
        <f>IF(AN107=0,J107,0)</f>
        <v>0</v>
      </c>
      <c r="AK107" s="27">
        <f>IF(AN107=12,J107,0)</f>
        <v>0</v>
      </c>
      <c r="AL107" s="27">
        <f>IF(AN107=21,J107,0)</f>
        <v>0</v>
      </c>
      <c r="AN107" s="27">
        <v>21</v>
      </c>
      <c r="AO107" s="27">
        <f>G107*0</f>
        <v>0</v>
      </c>
      <c r="AP107" s="27">
        <f>G107*(1-0)</f>
        <v>0</v>
      </c>
      <c r="AQ107" s="29" t="s">
        <v>117</v>
      </c>
      <c r="AV107" s="27">
        <f>ROUND(AW107+AX107,2)</f>
        <v>0</v>
      </c>
      <c r="AW107" s="27">
        <f>ROUND(F107*AO107,2)</f>
        <v>0</v>
      </c>
      <c r="AX107" s="27">
        <f>ROUND(F107*AP107,2)</f>
        <v>0</v>
      </c>
      <c r="AY107" s="29" t="s">
        <v>273</v>
      </c>
      <c r="AZ107" s="29" t="s">
        <v>216</v>
      </c>
      <c r="BA107" s="10" t="s">
        <v>65</v>
      </c>
      <c r="BC107" s="27">
        <f>AW107+AX107</f>
        <v>0</v>
      </c>
      <c r="BD107" s="27">
        <f>G107/(100-BE107)*100</f>
        <v>0</v>
      </c>
      <c r="BE107" s="27">
        <v>0</v>
      </c>
      <c r="BF107" s="27">
        <f>L107</f>
        <v>0.24881999999999999</v>
      </c>
      <c r="BH107" s="27">
        <f>F107*AO107</f>
        <v>0</v>
      </c>
      <c r="BI107" s="27">
        <f>F107*AP107</f>
        <v>0</v>
      </c>
      <c r="BJ107" s="27">
        <f>F107*G107</f>
        <v>0</v>
      </c>
      <c r="BK107" s="29" t="s">
        <v>66</v>
      </c>
      <c r="BL107" s="27">
        <v>713</v>
      </c>
      <c r="BW107" s="27">
        <v>21</v>
      </c>
      <c r="BX107" s="4" t="s">
        <v>272</v>
      </c>
    </row>
    <row r="108" spans="1:76" ht="13.5" customHeight="1" x14ac:dyDescent="0.25">
      <c r="A108" s="30"/>
      <c r="C108" s="135" t="s">
        <v>274</v>
      </c>
      <c r="D108" s="136"/>
      <c r="E108" s="136"/>
      <c r="F108" s="136"/>
      <c r="G108" s="136"/>
      <c r="H108" s="136"/>
      <c r="I108" s="136"/>
      <c r="J108" s="136"/>
      <c r="K108" s="136"/>
      <c r="L108" s="136"/>
      <c r="M108" s="137"/>
    </row>
    <row r="109" spans="1:76" x14ac:dyDescent="0.25">
      <c r="A109" s="30"/>
      <c r="C109" s="31" t="s">
        <v>234</v>
      </c>
      <c r="D109" s="31" t="s">
        <v>275</v>
      </c>
      <c r="F109" s="32">
        <v>62.204999999999998</v>
      </c>
      <c r="M109" s="33"/>
    </row>
    <row r="110" spans="1:76" x14ac:dyDescent="0.25">
      <c r="A110" s="2" t="s">
        <v>276</v>
      </c>
      <c r="B110" s="3" t="s">
        <v>277</v>
      </c>
      <c r="C110" s="80" t="s">
        <v>278</v>
      </c>
      <c r="D110" s="73"/>
      <c r="E110" s="3" t="s">
        <v>61</v>
      </c>
      <c r="F110" s="27">
        <v>299.47000000000003</v>
      </c>
      <c r="G110" s="67">
        <v>0</v>
      </c>
      <c r="H110" s="27">
        <f>ROUND(F110*AO110,2)</f>
        <v>0</v>
      </c>
      <c r="I110" s="27">
        <f>ROUND(F110*AP110,2)</f>
        <v>0</v>
      </c>
      <c r="J110" s="27">
        <f>ROUND(F110*G110,2)</f>
        <v>0</v>
      </c>
      <c r="K110" s="27">
        <v>1.6000000000000001E-4</v>
      </c>
      <c r="L110" s="27">
        <f>F110*K110</f>
        <v>4.7915200000000005E-2</v>
      </c>
      <c r="M110" s="28" t="s">
        <v>62</v>
      </c>
      <c r="Z110" s="27">
        <f>ROUND(IF(AQ110="5",BJ110,0),2)</f>
        <v>0</v>
      </c>
      <c r="AB110" s="27">
        <f>ROUND(IF(AQ110="1",BH110,0),2)</f>
        <v>0</v>
      </c>
      <c r="AC110" s="27">
        <f>ROUND(IF(AQ110="1",BI110,0),2)</f>
        <v>0</v>
      </c>
      <c r="AD110" s="27">
        <f>ROUND(IF(AQ110="7",BH110,0),2)</f>
        <v>0</v>
      </c>
      <c r="AE110" s="27">
        <f>ROUND(IF(AQ110="7",BI110,0),2)</f>
        <v>0</v>
      </c>
      <c r="AF110" s="27">
        <f>ROUND(IF(AQ110="2",BH110,0),2)</f>
        <v>0</v>
      </c>
      <c r="AG110" s="27">
        <f>ROUND(IF(AQ110="2",BI110,0),2)</f>
        <v>0</v>
      </c>
      <c r="AH110" s="27">
        <f>ROUND(IF(AQ110="0",BJ110,0),2)</f>
        <v>0</v>
      </c>
      <c r="AI110" s="10" t="s">
        <v>55</v>
      </c>
      <c r="AJ110" s="27">
        <f>IF(AN110=0,J110,0)</f>
        <v>0</v>
      </c>
      <c r="AK110" s="27">
        <f>IF(AN110=12,J110,0)</f>
        <v>0</v>
      </c>
      <c r="AL110" s="27">
        <f>IF(AN110=21,J110,0)</f>
        <v>0</v>
      </c>
      <c r="AN110" s="27">
        <v>21</v>
      </c>
      <c r="AO110" s="27">
        <f>G110*0.495630758</f>
        <v>0</v>
      </c>
      <c r="AP110" s="27">
        <f>G110*(1-0.495630758)</f>
        <v>0</v>
      </c>
      <c r="AQ110" s="29" t="s">
        <v>117</v>
      </c>
      <c r="AV110" s="27">
        <f>ROUND(AW110+AX110,2)</f>
        <v>0</v>
      </c>
      <c r="AW110" s="27">
        <f>ROUND(F110*AO110,2)</f>
        <v>0</v>
      </c>
      <c r="AX110" s="27">
        <f>ROUND(F110*AP110,2)</f>
        <v>0</v>
      </c>
      <c r="AY110" s="29" t="s">
        <v>273</v>
      </c>
      <c r="AZ110" s="29" t="s">
        <v>216</v>
      </c>
      <c r="BA110" s="10" t="s">
        <v>65</v>
      </c>
      <c r="BC110" s="27">
        <f>AW110+AX110</f>
        <v>0</v>
      </c>
      <c r="BD110" s="27">
        <f>G110/(100-BE110)*100</f>
        <v>0</v>
      </c>
      <c r="BE110" s="27">
        <v>0</v>
      </c>
      <c r="BF110" s="27">
        <f>L110</f>
        <v>4.7915200000000005E-2</v>
      </c>
      <c r="BH110" s="27">
        <f>F110*AO110</f>
        <v>0</v>
      </c>
      <c r="BI110" s="27">
        <f>F110*AP110</f>
        <v>0</v>
      </c>
      <c r="BJ110" s="27">
        <f>F110*G110</f>
        <v>0</v>
      </c>
      <c r="BK110" s="29" t="s">
        <v>66</v>
      </c>
      <c r="BL110" s="27">
        <v>713</v>
      </c>
      <c r="BW110" s="27">
        <v>21</v>
      </c>
      <c r="BX110" s="4" t="s">
        <v>278</v>
      </c>
    </row>
    <row r="111" spans="1:76" x14ac:dyDescent="0.25">
      <c r="A111" s="30"/>
      <c r="C111" s="31" t="s">
        <v>279</v>
      </c>
      <c r="D111" s="31" t="s">
        <v>280</v>
      </c>
      <c r="F111" s="32">
        <v>17.489999999999998</v>
      </c>
      <c r="M111" s="33"/>
    </row>
    <row r="112" spans="1:76" x14ac:dyDescent="0.25">
      <c r="A112" s="30"/>
      <c r="C112" s="31" t="s">
        <v>281</v>
      </c>
      <c r="D112" s="31" t="s">
        <v>282</v>
      </c>
      <c r="F112" s="32">
        <v>218.9</v>
      </c>
      <c r="M112" s="33"/>
    </row>
    <row r="113" spans="1:76" x14ac:dyDescent="0.25">
      <c r="A113" s="30"/>
      <c r="C113" s="31" t="s">
        <v>283</v>
      </c>
      <c r="D113" s="31" t="s">
        <v>284</v>
      </c>
      <c r="F113" s="32">
        <v>24.36</v>
      </c>
      <c r="M113" s="33"/>
    </row>
    <row r="114" spans="1:76" x14ac:dyDescent="0.25">
      <c r="A114" s="30"/>
      <c r="C114" s="31" t="s">
        <v>285</v>
      </c>
      <c r="D114" s="31" t="s">
        <v>286</v>
      </c>
      <c r="F114" s="32">
        <v>38.72</v>
      </c>
      <c r="M114" s="33"/>
    </row>
    <row r="115" spans="1:76" x14ac:dyDescent="0.25">
      <c r="A115" s="2" t="s">
        <v>70</v>
      </c>
      <c r="B115" s="3" t="s">
        <v>287</v>
      </c>
      <c r="C115" s="80" t="s">
        <v>288</v>
      </c>
      <c r="D115" s="73"/>
      <c r="E115" s="3" t="s">
        <v>61</v>
      </c>
      <c r="F115" s="27">
        <v>163.404</v>
      </c>
      <c r="G115" s="67">
        <v>0</v>
      </c>
      <c r="H115" s="27">
        <f>ROUND(F115*AO115,2)</f>
        <v>0</v>
      </c>
      <c r="I115" s="27">
        <f>ROUND(F115*AP115,2)</f>
        <v>0</v>
      </c>
      <c r="J115" s="27">
        <f>ROUND(F115*G115,2)</f>
        <v>0</v>
      </c>
      <c r="K115" s="27">
        <v>2.3E-3</v>
      </c>
      <c r="L115" s="27">
        <f>F115*K115</f>
        <v>0.37582919999999997</v>
      </c>
      <c r="M115" s="28" t="s">
        <v>62</v>
      </c>
      <c r="Z115" s="27">
        <f>ROUND(IF(AQ115="5",BJ115,0),2)</f>
        <v>0</v>
      </c>
      <c r="AB115" s="27">
        <f>ROUND(IF(AQ115="1",BH115,0),2)</f>
        <v>0</v>
      </c>
      <c r="AC115" s="27">
        <f>ROUND(IF(AQ115="1",BI115,0),2)</f>
        <v>0</v>
      </c>
      <c r="AD115" s="27">
        <f>ROUND(IF(AQ115="7",BH115,0),2)</f>
        <v>0</v>
      </c>
      <c r="AE115" s="27">
        <f>ROUND(IF(AQ115="7",BI115,0),2)</f>
        <v>0</v>
      </c>
      <c r="AF115" s="27">
        <f>ROUND(IF(AQ115="2",BH115,0),2)</f>
        <v>0</v>
      </c>
      <c r="AG115" s="27">
        <f>ROUND(IF(AQ115="2",BI115,0),2)</f>
        <v>0</v>
      </c>
      <c r="AH115" s="27">
        <f>ROUND(IF(AQ115="0",BJ115,0),2)</f>
        <v>0</v>
      </c>
      <c r="AI115" s="10" t="s">
        <v>55</v>
      </c>
      <c r="AJ115" s="27">
        <f>IF(AN115=0,J115,0)</f>
        <v>0</v>
      </c>
      <c r="AK115" s="27">
        <f>IF(AN115=12,J115,0)</f>
        <v>0</v>
      </c>
      <c r="AL115" s="27">
        <f>IF(AN115=21,J115,0)</f>
        <v>0</v>
      </c>
      <c r="AN115" s="27">
        <v>21</v>
      </c>
      <c r="AO115" s="27">
        <f>G115*1</f>
        <v>0</v>
      </c>
      <c r="AP115" s="27">
        <f>G115*(1-1)</f>
        <v>0</v>
      </c>
      <c r="AQ115" s="29" t="s">
        <v>117</v>
      </c>
      <c r="AV115" s="27">
        <f>ROUND(AW115+AX115,2)</f>
        <v>0</v>
      </c>
      <c r="AW115" s="27">
        <f>ROUND(F115*AO115,2)</f>
        <v>0</v>
      </c>
      <c r="AX115" s="27">
        <f>ROUND(F115*AP115,2)</f>
        <v>0</v>
      </c>
      <c r="AY115" s="29" t="s">
        <v>273</v>
      </c>
      <c r="AZ115" s="29" t="s">
        <v>216</v>
      </c>
      <c r="BA115" s="10" t="s">
        <v>65</v>
      </c>
      <c r="BC115" s="27">
        <f>AW115+AX115</f>
        <v>0</v>
      </c>
      <c r="BD115" s="27">
        <f>G115/(100-BE115)*100</f>
        <v>0</v>
      </c>
      <c r="BE115" s="27">
        <v>0</v>
      </c>
      <c r="BF115" s="27">
        <f>L115</f>
        <v>0.37582919999999997</v>
      </c>
      <c r="BH115" s="27">
        <f>F115*AO115</f>
        <v>0</v>
      </c>
      <c r="BI115" s="27">
        <f>F115*AP115</f>
        <v>0</v>
      </c>
      <c r="BJ115" s="27">
        <f>F115*G115</f>
        <v>0</v>
      </c>
      <c r="BK115" s="29" t="s">
        <v>289</v>
      </c>
      <c r="BL115" s="27">
        <v>713</v>
      </c>
      <c r="BW115" s="27">
        <v>21</v>
      </c>
      <c r="BX115" s="4" t="s">
        <v>288</v>
      </c>
    </row>
    <row r="116" spans="1:76" x14ac:dyDescent="0.25">
      <c r="A116" s="30"/>
      <c r="C116" s="31" t="s">
        <v>290</v>
      </c>
      <c r="D116" s="31" t="s">
        <v>291</v>
      </c>
      <c r="F116" s="32">
        <v>18.888999999999999</v>
      </c>
      <c r="M116" s="33"/>
    </row>
    <row r="117" spans="1:76" x14ac:dyDescent="0.25">
      <c r="A117" s="30"/>
      <c r="C117" s="31" t="s">
        <v>292</v>
      </c>
      <c r="D117" s="31" t="s">
        <v>291</v>
      </c>
      <c r="F117" s="32">
        <v>118.206</v>
      </c>
      <c r="M117" s="33"/>
    </row>
    <row r="118" spans="1:76" x14ac:dyDescent="0.25">
      <c r="A118" s="30"/>
      <c r="C118" s="31" t="s">
        <v>293</v>
      </c>
      <c r="D118" s="31" t="s">
        <v>294</v>
      </c>
      <c r="F118" s="32">
        <v>26.309000000000001</v>
      </c>
      <c r="M118" s="33"/>
    </row>
    <row r="119" spans="1:76" x14ac:dyDescent="0.25">
      <c r="A119" s="2" t="s">
        <v>295</v>
      </c>
      <c r="B119" s="3" t="s">
        <v>296</v>
      </c>
      <c r="C119" s="80" t="s">
        <v>297</v>
      </c>
      <c r="D119" s="73"/>
      <c r="E119" s="3" t="s">
        <v>61</v>
      </c>
      <c r="F119" s="27">
        <v>41.817999999999998</v>
      </c>
      <c r="G119" s="67">
        <v>0</v>
      </c>
      <c r="H119" s="27">
        <f>ROUND(F119*AO119,2)</f>
        <v>0</v>
      </c>
      <c r="I119" s="27">
        <f>ROUND(F119*AP119,2)</f>
        <v>0</v>
      </c>
      <c r="J119" s="27">
        <f>ROUND(F119*G119,2)</f>
        <v>0</v>
      </c>
      <c r="K119" s="27">
        <v>2.3999999999999998E-3</v>
      </c>
      <c r="L119" s="27">
        <f>F119*K119</f>
        <v>0.10036319999999999</v>
      </c>
      <c r="M119" s="28" t="s">
        <v>62</v>
      </c>
      <c r="Z119" s="27">
        <f>ROUND(IF(AQ119="5",BJ119,0),2)</f>
        <v>0</v>
      </c>
      <c r="AB119" s="27">
        <f>ROUND(IF(AQ119="1",BH119,0),2)</f>
        <v>0</v>
      </c>
      <c r="AC119" s="27">
        <f>ROUND(IF(AQ119="1",BI119,0),2)</f>
        <v>0</v>
      </c>
      <c r="AD119" s="27">
        <f>ROUND(IF(AQ119="7",BH119,0),2)</f>
        <v>0</v>
      </c>
      <c r="AE119" s="27">
        <f>ROUND(IF(AQ119="7",BI119,0),2)</f>
        <v>0</v>
      </c>
      <c r="AF119" s="27">
        <f>ROUND(IF(AQ119="2",BH119,0),2)</f>
        <v>0</v>
      </c>
      <c r="AG119" s="27">
        <f>ROUND(IF(AQ119="2",BI119,0),2)</f>
        <v>0</v>
      </c>
      <c r="AH119" s="27">
        <f>ROUND(IF(AQ119="0",BJ119,0),2)</f>
        <v>0</v>
      </c>
      <c r="AI119" s="10" t="s">
        <v>55</v>
      </c>
      <c r="AJ119" s="27">
        <f>IF(AN119=0,J119,0)</f>
        <v>0</v>
      </c>
      <c r="AK119" s="27">
        <f>IF(AN119=12,J119,0)</f>
        <v>0</v>
      </c>
      <c r="AL119" s="27">
        <f>IF(AN119=21,J119,0)</f>
        <v>0</v>
      </c>
      <c r="AN119" s="27">
        <v>21</v>
      </c>
      <c r="AO119" s="27">
        <f>G119*1</f>
        <v>0</v>
      </c>
      <c r="AP119" s="27">
        <f>G119*(1-1)</f>
        <v>0</v>
      </c>
      <c r="AQ119" s="29" t="s">
        <v>117</v>
      </c>
      <c r="AV119" s="27">
        <f>ROUND(AW119+AX119,2)</f>
        <v>0</v>
      </c>
      <c r="AW119" s="27">
        <f>ROUND(F119*AO119,2)</f>
        <v>0</v>
      </c>
      <c r="AX119" s="27">
        <f>ROUND(F119*AP119,2)</f>
        <v>0</v>
      </c>
      <c r="AY119" s="29" t="s">
        <v>273</v>
      </c>
      <c r="AZ119" s="29" t="s">
        <v>216</v>
      </c>
      <c r="BA119" s="10" t="s">
        <v>65</v>
      </c>
      <c r="BC119" s="27">
        <f>AW119+AX119</f>
        <v>0</v>
      </c>
      <c r="BD119" s="27">
        <f>G119/(100-BE119)*100</f>
        <v>0</v>
      </c>
      <c r="BE119" s="27">
        <v>0</v>
      </c>
      <c r="BF119" s="27">
        <f>L119</f>
        <v>0.10036319999999999</v>
      </c>
      <c r="BH119" s="27">
        <f>F119*AO119</f>
        <v>0</v>
      </c>
      <c r="BI119" s="27">
        <f>F119*AP119</f>
        <v>0</v>
      </c>
      <c r="BJ119" s="27">
        <f>F119*G119</f>
        <v>0</v>
      </c>
      <c r="BK119" s="29" t="s">
        <v>289</v>
      </c>
      <c r="BL119" s="27">
        <v>713</v>
      </c>
      <c r="BW119" s="27">
        <v>21</v>
      </c>
      <c r="BX119" s="4" t="s">
        <v>297</v>
      </c>
    </row>
    <row r="120" spans="1:76" x14ac:dyDescent="0.25">
      <c r="A120" s="30"/>
      <c r="C120" s="31" t="s">
        <v>298</v>
      </c>
      <c r="D120" s="31" t="s">
        <v>286</v>
      </c>
      <c r="F120" s="32">
        <v>41.817999999999998</v>
      </c>
      <c r="M120" s="33"/>
    </row>
    <row r="121" spans="1:76" x14ac:dyDescent="0.25">
      <c r="A121" s="2" t="s">
        <v>299</v>
      </c>
      <c r="B121" s="3" t="s">
        <v>300</v>
      </c>
      <c r="C121" s="80" t="s">
        <v>301</v>
      </c>
      <c r="D121" s="73"/>
      <c r="E121" s="3" t="s">
        <v>61</v>
      </c>
      <c r="F121" s="27">
        <v>118.206</v>
      </c>
      <c r="G121" s="67">
        <v>0</v>
      </c>
      <c r="H121" s="27">
        <f>ROUND(F121*AO121,2)</f>
        <v>0</v>
      </c>
      <c r="I121" s="27">
        <f>ROUND(F121*AP121,2)</f>
        <v>0</v>
      </c>
      <c r="J121" s="27">
        <f>ROUND(F121*G121,2)</f>
        <v>0</v>
      </c>
      <c r="K121" s="27">
        <v>1.8400000000000001E-3</v>
      </c>
      <c r="L121" s="27">
        <f>F121*K121</f>
        <v>0.21749904</v>
      </c>
      <c r="M121" s="28" t="s">
        <v>62</v>
      </c>
      <c r="Z121" s="27">
        <f>ROUND(IF(AQ121="5",BJ121,0),2)</f>
        <v>0</v>
      </c>
      <c r="AB121" s="27">
        <f>ROUND(IF(AQ121="1",BH121,0),2)</f>
        <v>0</v>
      </c>
      <c r="AC121" s="27">
        <f>ROUND(IF(AQ121="1",BI121,0),2)</f>
        <v>0</v>
      </c>
      <c r="AD121" s="27">
        <f>ROUND(IF(AQ121="7",BH121,0),2)</f>
        <v>0</v>
      </c>
      <c r="AE121" s="27">
        <f>ROUND(IF(AQ121="7",BI121,0),2)</f>
        <v>0</v>
      </c>
      <c r="AF121" s="27">
        <f>ROUND(IF(AQ121="2",BH121,0),2)</f>
        <v>0</v>
      </c>
      <c r="AG121" s="27">
        <f>ROUND(IF(AQ121="2",BI121,0),2)</f>
        <v>0</v>
      </c>
      <c r="AH121" s="27">
        <f>ROUND(IF(AQ121="0",BJ121,0),2)</f>
        <v>0</v>
      </c>
      <c r="AI121" s="10" t="s">
        <v>55</v>
      </c>
      <c r="AJ121" s="27">
        <f>IF(AN121=0,J121,0)</f>
        <v>0</v>
      </c>
      <c r="AK121" s="27">
        <f>IF(AN121=12,J121,0)</f>
        <v>0</v>
      </c>
      <c r="AL121" s="27">
        <f>IF(AN121=21,J121,0)</f>
        <v>0</v>
      </c>
      <c r="AN121" s="27">
        <v>21</v>
      </c>
      <c r="AO121" s="27">
        <f>G121*1</f>
        <v>0</v>
      </c>
      <c r="AP121" s="27">
        <f>G121*(1-1)</f>
        <v>0</v>
      </c>
      <c r="AQ121" s="29" t="s">
        <v>117</v>
      </c>
      <c r="AV121" s="27">
        <f>ROUND(AW121+AX121,2)</f>
        <v>0</v>
      </c>
      <c r="AW121" s="27">
        <f>ROUND(F121*AO121,2)</f>
        <v>0</v>
      </c>
      <c r="AX121" s="27">
        <f>ROUND(F121*AP121,2)</f>
        <v>0</v>
      </c>
      <c r="AY121" s="29" t="s">
        <v>273</v>
      </c>
      <c r="AZ121" s="29" t="s">
        <v>216</v>
      </c>
      <c r="BA121" s="10" t="s">
        <v>65</v>
      </c>
      <c r="BC121" s="27">
        <f>AW121+AX121</f>
        <v>0</v>
      </c>
      <c r="BD121" s="27">
        <f>G121/(100-BE121)*100</f>
        <v>0</v>
      </c>
      <c r="BE121" s="27">
        <v>0</v>
      </c>
      <c r="BF121" s="27">
        <f>L121</f>
        <v>0.21749904</v>
      </c>
      <c r="BH121" s="27">
        <f>F121*AO121</f>
        <v>0</v>
      </c>
      <c r="BI121" s="27">
        <f>F121*AP121</f>
        <v>0</v>
      </c>
      <c r="BJ121" s="27">
        <f>F121*G121</f>
        <v>0</v>
      </c>
      <c r="BK121" s="29" t="s">
        <v>289</v>
      </c>
      <c r="BL121" s="27">
        <v>713</v>
      </c>
      <c r="BW121" s="27">
        <v>21</v>
      </c>
      <c r="BX121" s="4" t="s">
        <v>301</v>
      </c>
    </row>
    <row r="122" spans="1:76" x14ac:dyDescent="0.25">
      <c r="A122" s="30"/>
      <c r="C122" s="31" t="s">
        <v>292</v>
      </c>
      <c r="D122" s="31" t="s">
        <v>291</v>
      </c>
      <c r="F122" s="32">
        <v>118.206</v>
      </c>
      <c r="M122" s="33"/>
    </row>
    <row r="123" spans="1:76" x14ac:dyDescent="0.25">
      <c r="A123" s="2" t="s">
        <v>302</v>
      </c>
      <c r="B123" s="3" t="s">
        <v>303</v>
      </c>
      <c r="C123" s="80" t="s">
        <v>304</v>
      </c>
      <c r="D123" s="73"/>
      <c r="E123" s="3" t="s">
        <v>61</v>
      </c>
      <c r="F123" s="27">
        <v>61.05</v>
      </c>
      <c r="G123" s="67">
        <v>0</v>
      </c>
      <c r="H123" s="27">
        <f>ROUND(F123*AO123,2)</f>
        <v>0</v>
      </c>
      <c r="I123" s="27">
        <f>ROUND(F123*AP123,2)</f>
        <v>0</v>
      </c>
      <c r="J123" s="27">
        <f>ROUND(F123*G123,2)</f>
        <v>0</v>
      </c>
      <c r="K123" s="27">
        <v>1.6000000000000001E-4</v>
      </c>
      <c r="L123" s="27">
        <f>F123*K123</f>
        <v>9.7680000000000006E-3</v>
      </c>
      <c r="M123" s="28" t="s">
        <v>62</v>
      </c>
      <c r="Z123" s="27">
        <f>ROUND(IF(AQ123="5",BJ123,0),2)</f>
        <v>0</v>
      </c>
      <c r="AB123" s="27">
        <f>ROUND(IF(AQ123="1",BH123,0),2)</f>
        <v>0</v>
      </c>
      <c r="AC123" s="27">
        <f>ROUND(IF(AQ123="1",BI123,0),2)</f>
        <v>0</v>
      </c>
      <c r="AD123" s="27">
        <f>ROUND(IF(AQ123="7",BH123,0),2)</f>
        <v>0</v>
      </c>
      <c r="AE123" s="27">
        <f>ROUND(IF(AQ123="7",BI123,0),2)</f>
        <v>0</v>
      </c>
      <c r="AF123" s="27">
        <f>ROUND(IF(AQ123="2",BH123,0),2)</f>
        <v>0</v>
      </c>
      <c r="AG123" s="27">
        <f>ROUND(IF(AQ123="2",BI123,0),2)</f>
        <v>0</v>
      </c>
      <c r="AH123" s="27">
        <f>ROUND(IF(AQ123="0",BJ123,0),2)</f>
        <v>0</v>
      </c>
      <c r="AI123" s="10" t="s">
        <v>55</v>
      </c>
      <c r="AJ123" s="27">
        <f>IF(AN123=0,J123,0)</f>
        <v>0</v>
      </c>
      <c r="AK123" s="27">
        <f>IF(AN123=12,J123,0)</f>
        <v>0</v>
      </c>
      <c r="AL123" s="27">
        <f>IF(AN123=21,J123,0)</f>
        <v>0</v>
      </c>
      <c r="AN123" s="27">
        <v>21</v>
      </c>
      <c r="AO123" s="27">
        <f>G123*0.359632626</f>
        <v>0</v>
      </c>
      <c r="AP123" s="27">
        <f>G123*(1-0.359632626)</f>
        <v>0</v>
      </c>
      <c r="AQ123" s="29" t="s">
        <v>117</v>
      </c>
      <c r="AV123" s="27">
        <f>ROUND(AW123+AX123,2)</f>
        <v>0</v>
      </c>
      <c r="AW123" s="27">
        <f>ROUND(F123*AO123,2)</f>
        <v>0</v>
      </c>
      <c r="AX123" s="27">
        <f>ROUND(F123*AP123,2)</f>
        <v>0</v>
      </c>
      <c r="AY123" s="29" t="s">
        <v>273</v>
      </c>
      <c r="AZ123" s="29" t="s">
        <v>216</v>
      </c>
      <c r="BA123" s="10" t="s">
        <v>65</v>
      </c>
      <c r="BC123" s="27">
        <f>AW123+AX123</f>
        <v>0</v>
      </c>
      <c r="BD123" s="27">
        <f>G123/(100-BE123)*100</f>
        <v>0</v>
      </c>
      <c r="BE123" s="27">
        <v>0</v>
      </c>
      <c r="BF123" s="27">
        <f>L123</f>
        <v>9.7680000000000006E-3</v>
      </c>
      <c r="BH123" s="27">
        <f>F123*AO123</f>
        <v>0</v>
      </c>
      <c r="BI123" s="27">
        <f>F123*AP123</f>
        <v>0</v>
      </c>
      <c r="BJ123" s="27">
        <f>F123*G123</f>
        <v>0</v>
      </c>
      <c r="BK123" s="29" t="s">
        <v>66</v>
      </c>
      <c r="BL123" s="27">
        <v>713</v>
      </c>
      <c r="BW123" s="27">
        <v>21</v>
      </c>
      <c r="BX123" s="4" t="s">
        <v>304</v>
      </c>
    </row>
    <row r="124" spans="1:76" x14ac:dyDescent="0.25">
      <c r="A124" s="30"/>
      <c r="C124" s="31" t="s">
        <v>305</v>
      </c>
      <c r="D124" s="31" t="s">
        <v>306</v>
      </c>
      <c r="F124" s="32">
        <v>61.05</v>
      </c>
      <c r="M124" s="33"/>
    </row>
    <row r="125" spans="1:76" x14ac:dyDescent="0.25">
      <c r="A125" s="2" t="s">
        <v>80</v>
      </c>
      <c r="B125" s="3" t="s">
        <v>307</v>
      </c>
      <c r="C125" s="80" t="s">
        <v>308</v>
      </c>
      <c r="D125" s="73"/>
      <c r="E125" s="3" t="s">
        <v>113</v>
      </c>
      <c r="F125" s="27">
        <v>4.915</v>
      </c>
      <c r="G125" s="67">
        <v>0</v>
      </c>
      <c r="H125" s="27">
        <f>ROUND(F125*AO125,2)</f>
        <v>0</v>
      </c>
      <c r="I125" s="27">
        <f>ROUND(F125*AP125,2)</f>
        <v>0</v>
      </c>
      <c r="J125" s="27">
        <f>ROUND(F125*G125,2)</f>
        <v>0</v>
      </c>
      <c r="K125" s="27">
        <v>2.5000000000000001E-2</v>
      </c>
      <c r="L125" s="27">
        <f>F125*K125</f>
        <v>0.12287500000000001</v>
      </c>
      <c r="M125" s="28" t="s">
        <v>62</v>
      </c>
      <c r="Z125" s="27">
        <f>ROUND(IF(AQ125="5",BJ125,0),2)</f>
        <v>0</v>
      </c>
      <c r="AB125" s="27">
        <f>ROUND(IF(AQ125="1",BH125,0),2)</f>
        <v>0</v>
      </c>
      <c r="AC125" s="27">
        <f>ROUND(IF(AQ125="1",BI125,0),2)</f>
        <v>0</v>
      </c>
      <c r="AD125" s="27">
        <f>ROUND(IF(AQ125="7",BH125,0),2)</f>
        <v>0</v>
      </c>
      <c r="AE125" s="27">
        <f>ROUND(IF(AQ125="7",BI125,0),2)</f>
        <v>0</v>
      </c>
      <c r="AF125" s="27">
        <f>ROUND(IF(AQ125="2",BH125,0),2)</f>
        <v>0</v>
      </c>
      <c r="AG125" s="27">
        <f>ROUND(IF(AQ125="2",BI125,0),2)</f>
        <v>0</v>
      </c>
      <c r="AH125" s="27">
        <f>ROUND(IF(AQ125="0",BJ125,0),2)</f>
        <v>0</v>
      </c>
      <c r="AI125" s="10" t="s">
        <v>55</v>
      </c>
      <c r="AJ125" s="27">
        <f>IF(AN125=0,J125,0)</f>
        <v>0</v>
      </c>
      <c r="AK125" s="27">
        <f>IF(AN125=12,J125,0)</f>
        <v>0</v>
      </c>
      <c r="AL125" s="27">
        <f>IF(AN125=21,J125,0)</f>
        <v>0</v>
      </c>
      <c r="AN125" s="27">
        <v>21</v>
      </c>
      <c r="AO125" s="27">
        <f>G125*1</f>
        <v>0</v>
      </c>
      <c r="AP125" s="27">
        <f>G125*(1-1)</f>
        <v>0</v>
      </c>
      <c r="AQ125" s="29" t="s">
        <v>117</v>
      </c>
      <c r="AV125" s="27">
        <f>ROUND(AW125+AX125,2)</f>
        <v>0</v>
      </c>
      <c r="AW125" s="27">
        <f>ROUND(F125*AO125,2)</f>
        <v>0</v>
      </c>
      <c r="AX125" s="27">
        <f>ROUND(F125*AP125,2)</f>
        <v>0</v>
      </c>
      <c r="AY125" s="29" t="s">
        <v>273</v>
      </c>
      <c r="AZ125" s="29" t="s">
        <v>216</v>
      </c>
      <c r="BA125" s="10" t="s">
        <v>65</v>
      </c>
      <c r="BC125" s="27">
        <f>AW125+AX125</f>
        <v>0</v>
      </c>
      <c r="BD125" s="27">
        <f>G125/(100-BE125)*100</f>
        <v>0</v>
      </c>
      <c r="BE125" s="27">
        <v>0</v>
      </c>
      <c r="BF125" s="27">
        <f>L125</f>
        <v>0.12287500000000001</v>
      </c>
      <c r="BH125" s="27">
        <f>F125*AO125</f>
        <v>0</v>
      </c>
      <c r="BI125" s="27">
        <f>F125*AP125</f>
        <v>0</v>
      </c>
      <c r="BJ125" s="27">
        <f>F125*G125</f>
        <v>0</v>
      </c>
      <c r="BK125" s="29" t="s">
        <v>289</v>
      </c>
      <c r="BL125" s="27">
        <v>713</v>
      </c>
      <c r="BW125" s="27">
        <v>21</v>
      </c>
      <c r="BX125" s="4" t="s">
        <v>308</v>
      </c>
    </row>
    <row r="126" spans="1:76" x14ac:dyDescent="0.25">
      <c r="A126" s="30"/>
      <c r="C126" s="31" t="s">
        <v>309</v>
      </c>
      <c r="D126" s="31" t="s">
        <v>306</v>
      </c>
      <c r="F126" s="32">
        <v>4.915</v>
      </c>
      <c r="M126" s="33"/>
    </row>
    <row r="127" spans="1:76" x14ac:dyDescent="0.25">
      <c r="A127" s="2" t="s">
        <v>310</v>
      </c>
      <c r="B127" s="3" t="s">
        <v>311</v>
      </c>
      <c r="C127" s="80" t="s">
        <v>312</v>
      </c>
      <c r="D127" s="73"/>
      <c r="E127" s="3" t="s">
        <v>120</v>
      </c>
      <c r="F127" s="27">
        <v>0.874</v>
      </c>
      <c r="G127" s="67">
        <v>0</v>
      </c>
      <c r="H127" s="27">
        <f>ROUND(F127*AO127,2)</f>
        <v>0</v>
      </c>
      <c r="I127" s="27">
        <f>ROUND(F127*AP127,2)</f>
        <v>0</v>
      </c>
      <c r="J127" s="27">
        <f>ROUND(F127*G127,2)</f>
        <v>0</v>
      </c>
      <c r="K127" s="27">
        <v>0</v>
      </c>
      <c r="L127" s="27">
        <f>F127*K127</f>
        <v>0</v>
      </c>
      <c r="M127" s="28" t="s">
        <v>62</v>
      </c>
      <c r="Z127" s="27">
        <f>ROUND(IF(AQ127="5",BJ127,0),2)</f>
        <v>0</v>
      </c>
      <c r="AB127" s="27">
        <f>ROUND(IF(AQ127="1",BH127,0),2)</f>
        <v>0</v>
      </c>
      <c r="AC127" s="27">
        <f>ROUND(IF(AQ127="1",BI127,0),2)</f>
        <v>0</v>
      </c>
      <c r="AD127" s="27">
        <f>ROUND(IF(AQ127="7",BH127,0),2)</f>
        <v>0</v>
      </c>
      <c r="AE127" s="27">
        <f>ROUND(IF(AQ127="7",BI127,0),2)</f>
        <v>0</v>
      </c>
      <c r="AF127" s="27">
        <f>ROUND(IF(AQ127="2",BH127,0),2)</f>
        <v>0</v>
      </c>
      <c r="AG127" s="27">
        <f>ROUND(IF(AQ127="2",BI127,0),2)</f>
        <v>0</v>
      </c>
      <c r="AH127" s="27">
        <f>ROUND(IF(AQ127="0",BJ127,0),2)</f>
        <v>0</v>
      </c>
      <c r="AI127" s="10" t="s">
        <v>55</v>
      </c>
      <c r="AJ127" s="27">
        <f>IF(AN127=0,J127,0)</f>
        <v>0</v>
      </c>
      <c r="AK127" s="27">
        <f>IF(AN127=12,J127,0)</f>
        <v>0</v>
      </c>
      <c r="AL127" s="27">
        <f>IF(AN127=21,J127,0)</f>
        <v>0</v>
      </c>
      <c r="AN127" s="27">
        <v>21</v>
      </c>
      <c r="AO127" s="27">
        <f>G127*0</f>
        <v>0</v>
      </c>
      <c r="AP127" s="27">
        <f>G127*(1-0)</f>
        <v>0</v>
      </c>
      <c r="AQ127" s="29" t="s">
        <v>100</v>
      </c>
      <c r="AV127" s="27">
        <f>ROUND(AW127+AX127,2)</f>
        <v>0</v>
      </c>
      <c r="AW127" s="27">
        <f>ROUND(F127*AO127,2)</f>
        <v>0</v>
      </c>
      <c r="AX127" s="27">
        <f>ROUND(F127*AP127,2)</f>
        <v>0</v>
      </c>
      <c r="AY127" s="29" t="s">
        <v>273</v>
      </c>
      <c r="AZ127" s="29" t="s">
        <v>216</v>
      </c>
      <c r="BA127" s="10" t="s">
        <v>65</v>
      </c>
      <c r="BC127" s="27">
        <f>AW127+AX127</f>
        <v>0</v>
      </c>
      <c r="BD127" s="27">
        <f>G127/(100-BE127)*100</f>
        <v>0</v>
      </c>
      <c r="BE127" s="27">
        <v>0</v>
      </c>
      <c r="BF127" s="27">
        <f>L127</f>
        <v>0</v>
      </c>
      <c r="BH127" s="27">
        <f>F127*AO127</f>
        <v>0</v>
      </c>
      <c r="BI127" s="27">
        <f>F127*AP127</f>
        <v>0</v>
      </c>
      <c r="BJ127" s="27">
        <f>F127*G127</f>
        <v>0</v>
      </c>
      <c r="BK127" s="29" t="s">
        <v>66</v>
      </c>
      <c r="BL127" s="27">
        <v>713</v>
      </c>
      <c r="BW127" s="27">
        <v>21</v>
      </c>
      <c r="BX127" s="4" t="s">
        <v>312</v>
      </c>
    </row>
    <row r="128" spans="1:76" x14ac:dyDescent="0.25">
      <c r="A128" s="34" t="s">
        <v>55</v>
      </c>
      <c r="B128" s="35" t="s">
        <v>313</v>
      </c>
      <c r="C128" s="133" t="s">
        <v>314</v>
      </c>
      <c r="D128" s="134"/>
      <c r="E128" s="36" t="s">
        <v>4</v>
      </c>
      <c r="F128" s="36" t="s">
        <v>4</v>
      </c>
      <c r="G128" s="36" t="s">
        <v>4</v>
      </c>
      <c r="H128" s="1">
        <f>ROUND(SUM(H129:H144),2)</f>
        <v>0</v>
      </c>
      <c r="I128" s="1">
        <f>ROUND(SUM(I129:I144),2)</f>
        <v>0</v>
      </c>
      <c r="J128" s="1">
        <f>ROUND(SUM(J129:J144),2)</f>
        <v>0</v>
      </c>
      <c r="K128" s="10" t="s">
        <v>55</v>
      </c>
      <c r="L128" s="1">
        <f>SUM(L129:L144)</f>
        <v>11.423120000000001</v>
      </c>
      <c r="M128" s="37" t="s">
        <v>55</v>
      </c>
      <c r="AI128" s="10" t="s">
        <v>55</v>
      </c>
      <c r="AS128" s="1">
        <f>SUM(AJ129:AJ144)</f>
        <v>0</v>
      </c>
      <c r="AT128" s="1">
        <f>SUM(AK129:AK144)</f>
        <v>0</v>
      </c>
      <c r="AU128" s="1">
        <f>SUM(AL129:AL144)</f>
        <v>0</v>
      </c>
    </row>
    <row r="129" spans="1:76" x14ac:dyDescent="0.25">
      <c r="A129" s="2" t="s">
        <v>315</v>
      </c>
      <c r="B129" s="3" t="s">
        <v>316</v>
      </c>
      <c r="C129" s="80" t="s">
        <v>317</v>
      </c>
      <c r="D129" s="73"/>
      <c r="E129" s="3" t="s">
        <v>103</v>
      </c>
      <c r="F129" s="27">
        <v>3</v>
      </c>
      <c r="G129" s="67">
        <v>0</v>
      </c>
      <c r="H129" s="27">
        <f>ROUND(F129*AO129,2)</f>
        <v>0</v>
      </c>
      <c r="I129" s="27">
        <f>ROUND(F129*AP129,2)</f>
        <v>0</v>
      </c>
      <c r="J129" s="27">
        <f>ROUND(F129*G129,2)</f>
        <v>0</v>
      </c>
      <c r="K129" s="27">
        <v>1.7049999999999999E-2</v>
      </c>
      <c r="L129" s="27">
        <f>F129*K129</f>
        <v>5.1150000000000001E-2</v>
      </c>
      <c r="M129" s="28" t="s">
        <v>62</v>
      </c>
      <c r="Z129" s="27">
        <f>ROUND(IF(AQ129="5",BJ129,0),2)</f>
        <v>0</v>
      </c>
      <c r="AB129" s="27">
        <f>ROUND(IF(AQ129="1",BH129,0),2)</f>
        <v>0</v>
      </c>
      <c r="AC129" s="27">
        <f>ROUND(IF(AQ129="1",BI129,0),2)</f>
        <v>0</v>
      </c>
      <c r="AD129" s="27">
        <f>ROUND(IF(AQ129="7",BH129,0),2)</f>
        <v>0</v>
      </c>
      <c r="AE129" s="27">
        <f>ROUND(IF(AQ129="7",BI129,0),2)</f>
        <v>0</v>
      </c>
      <c r="AF129" s="27">
        <f>ROUND(IF(AQ129="2",BH129,0),2)</f>
        <v>0</v>
      </c>
      <c r="AG129" s="27">
        <f>ROUND(IF(AQ129="2",BI129,0),2)</f>
        <v>0</v>
      </c>
      <c r="AH129" s="27">
        <f>ROUND(IF(AQ129="0",BJ129,0),2)</f>
        <v>0</v>
      </c>
      <c r="AI129" s="10" t="s">
        <v>55</v>
      </c>
      <c r="AJ129" s="27">
        <f>IF(AN129=0,J129,0)</f>
        <v>0</v>
      </c>
      <c r="AK129" s="27">
        <f>IF(AN129=12,J129,0)</f>
        <v>0</v>
      </c>
      <c r="AL129" s="27">
        <f>IF(AN129=21,J129,0)</f>
        <v>0</v>
      </c>
      <c r="AN129" s="27">
        <v>21</v>
      </c>
      <c r="AO129" s="27">
        <f>G129*0</f>
        <v>0</v>
      </c>
      <c r="AP129" s="27">
        <f>G129*(1-0)</f>
        <v>0</v>
      </c>
      <c r="AQ129" s="29" t="s">
        <v>117</v>
      </c>
      <c r="AV129" s="27">
        <f>ROUND(AW129+AX129,2)</f>
        <v>0</v>
      </c>
      <c r="AW129" s="27">
        <f>ROUND(F129*AO129,2)</f>
        <v>0</v>
      </c>
      <c r="AX129" s="27">
        <f>ROUND(F129*AP129,2)</f>
        <v>0</v>
      </c>
      <c r="AY129" s="29" t="s">
        <v>318</v>
      </c>
      <c r="AZ129" s="29" t="s">
        <v>319</v>
      </c>
      <c r="BA129" s="10" t="s">
        <v>65</v>
      </c>
      <c r="BC129" s="27">
        <f>AW129+AX129</f>
        <v>0</v>
      </c>
      <c r="BD129" s="27">
        <f>G129/(100-BE129)*100</f>
        <v>0</v>
      </c>
      <c r="BE129" s="27">
        <v>0</v>
      </c>
      <c r="BF129" s="27">
        <f>L129</f>
        <v>5.1150000000000001E-2</v>
      </c>
      <c r="BH129" s="27">
        <f>F129*AO129</f>
        <v>0</v>
      </c>
      <c r="BI129" s="27">
        <f>F129*AP129</f>
        <v>0</v>
      </c>
      <c r="BJ129" s="27">
        <f>F129*G129</f>
        <v>0</v>
      </c>
      <c r="BK129" s="29" t="s">
        <v>66</v>
      </c>
      <c r="BL129" s="27">
        <v>721</v>
      </c>
      <c r="BW129" s="27">
        <v>21</v>
      </c>
      <c r="BX129" s="4" t="s">
        <v>317</v>
      </c>
    </row>
    <row r="130" spans="1:76" x14ac:dyDescent="0.25">
      <c r="A130" s="30"/>
      <c r="C130" s="31" t="s">
        <v>82</v>
      </c>
      <c r="D130" s="31" t="s">
        <v>264</v>
      </c>
      <c r="F130" s="32">
        <v>3</v>
      </c>
      <c r="M130" s="33"/>
    </row>
    <row r="131" spans="1:76" x14ac:dyDescent="0.25">
      <c r="A131" s="2" t="s">
        <v>89</v>
      </c>
      <c r="B131" s="3" t="s">
        <v>320</v>
      </c>
      <c r="C131" s="80" t="s">
        <v>321</v>
      </c>
      <c r="D131" s="73"/>
      <c r="E131" s="3" t="s">
        <v>140</v>
      </c>
      <c r="F131" s="27">
        <v>3</v>
      </c>
      <c r="G131" s="67">
        <v>0</v>
      </c>
      <c r="H131" s="27">
        <f>ROUND(F131*AO131,2)</f>
        <v>0</v>
      </c>
      <c r="I131" s="27">
        <f>ROUND(F131*AP131,2)</f>
        <v>0</v>
      </c>
      <c r="J131" s="27">
        <f>ROUND(F131*G131,2)</f>
        <v>0</v>
      </c>
      <c r="K131" s="27">
        <v>1.98E-3</v>
      </c>
      <c r="L131" s="27">
        <f>F131*K131</f>
        <v>5.94E-3</v>
      </c>
      <c r="M131" s="28" t="s">
        <v>62</v>
      </c>
      <c r="Z131" s="27">
        <f>ROUND(IF(AQ131="5",BJ131,0),2)</f>
        <v>0</v>
      </c>
      <c r="AB131" s="27">
        <f>ROUND(IF(AQ131="1",BH131,0),2)</f>
        <v>0</v>
      </c>
      <c r="AC131" s="27">
        <f>ROUND(IF(AQ131="1",BI131,0),2)</f>
        <v>0</v>
      </c>
      <c r="AD131" s="27">
        <f>ROUND(IF(AQ131="7",BH131,0),2)</f>
        <v>0</v>
      </c>
      <c r="AE131" s="27">
        <f>ROUND(IF(AQ131="7",BI131,0),2)</f>
        <v>0</v>
      </c>
      <c r="AF131" s="27">
        <f>ROUND(IF(AQ131="2",BH131,0),2)</f>
        <v>0</v>
      </c>
      <c r="AG131" s="27">
        <f>ROUND(IF(AQ131="2",BI131,0),2)</f>
        <v>0</v>
      </c>
      <c r="AH131" s="27">
        <f>ROUND(IF(AQ131="0",BJ131,0),2)</f>
        <v>0</v>
      </c>
      <c r="AI131" s="10" t="s">
        <v>55</v>
      </c>
      <c r="AJ131" s="27">
        <f>IF(AN131=0,J131,0)</f>
        <v>0</v>
      </c>
      <c r="AK131" s="27">
        <f>IF(AN131=12,J131,0)</f>
        <v>0</v>
      </c>
      <c r="AL131" s="27">
        <f>IF(AN131=21,J131,0)</f>
        <v>0</v>
      </c>
      <c r="AN131" s="27">
        <v>21</v>
      </c>
      <c r="AO131" s="27">
        <f>G131*0</f>
        <v>0</v>
      </c>
      <c r="AP131" s="27">
        <f>G131*(1-0)</f>
        <v>0</v>
      </c>
      <c r="AQ131" s="29" t="s">
        <v>117</v>
      </c>
      <c r="AV131" s="27">
        <f>ROUND(AW131+AX131,2)</f>
        <v>0</v>
      </c>
      <c r="AW131" s="27">
        <f>ROUND(F131*AO131,2)</f>
        <v>0</v>
      </c>
      <c r="AX131" s="27">
        <f>ROUND(F131*AP131,2)</f>
        <v>0</v>
      </c>
      <c r="AY131" s="29" t="s">
        <v>318</v>
      </c>
      <c r="AZ131" s="29" t="s">
        <v>319</v>
      </c>
      <c r="BA131" s="10" t="s">
        <v>65</v>
      </c>
      <c r="BC131" s="27">
        <f>AW131+AX131</f>
        <v>0</v>
      </c>
      <c r="BD131" s="27">
        <f>G131/(100-BE131)*100</f>
        <v>0</v>
      </c>
      <c r="BE131" s="27">
        <v>0</v>
      </c>
      <c r="BF131" s="27">
        <f>L131</f>
        <v>5.94E-3</v>
      </c>
      <c r="BH131" s="27">
        <f>F131*AO131</f>
        <v>0</v>
      </c>
      <c r="BI131" s="27">
        <f>F131*AP131</f>
        <v>0</v>
      </c>
      <c r="BJ131" s="27">
        <f>F131*G131</f>
        <v>0</v>
      </c>
      <c r="BK131" s="29" t="s">
        <v>66</v>
      </c>
      <c r="BL131" s="27">
        <v>721</v>
      </c>
      <c r="BW131" s="27">
        <v>21</v>
      </c>
      <c r="BX131" s="4" t="s">
        <v>321</v>
      </c>
    </row>
    <row r="132" spans="1:76" ht="13.5" customHeight="1" x14ac:dyDescent="0.25">
      <c r="A132" s="30"/>
      <c r="C132" s="135" t="s">
        <v>322</v>
      </c>
      <c r="D132" s="136"/>
      <c r="E132" s="136"/>
      <c r="F132" s="136"/>
      <c r="G132" s="136"/>
      <c r="H132" s="136"/>
      <c r="I132" s="136"/>
      <c r="J132" s="136"/>
      <c r="K132" s="136"/>
      <c r="L132" s="136"/>
      <c r="M132" s="137"/>
    </row>
    <row r="133" spans="1:76" x14ac:dyDescent="0.25">
      <c r="A133" s="30"/>
      <c r="C133" s="31" t="s">
        <v>323</v>
      </c>
      <c r="D133" s="31" t="s">
        <v>55</v>
      </c>
      <c r="F133" s="32">
        <v>3</v>
      </c>
      <c r="M133" s="33"/>
    </row>
    <row r="134" spans="1:76" x14ac:dyDescent="0.25">
      <c r="A134" s="2" t="s">
        <v>324</v>
      </c>
      <c r="B134" s="3" t="s">
        <v>325</v>
      </c>
      <c r="C134" s="80" t="s">
        <v>326</v>
      </c>
      <c r="D134" s="73"/>
      <c r="E134" s="3" t="s">
        <v>103</v>
      </c>
      <c r="F134" s="27">
        <v>6</v>
      </c>
      <c r="G134" s="67">
        <v>0</v>
      </c>
      <c r="H134" s="27">
        <f>ROUND(F134*AO134,2)</f>
        <v>0</v>
      </c>
      <c r="I134" s="27">
        <f>ROUND(F134*AP134,2)</f>
        <v>0</v>
      </c>
      <c r="J134" s="27">
        <f>ROUND(F134*G134,2)</f>
        <v>0</v>
      </c>
      <c r="K134" s="27">
        <v>5.0000000000000002E-5</v>
      </c>
      <c r="L134" s="27">
        <f>F134*K134</f>
        <v>3.0000000000000003E-4</v>
      </c>
      <c r="M134" s="28" t="s">
        <v>62</v>
      </c>
      <c r="Z134" s="27">
        <f>ROUND(IF(AQ134="5",BJ134,0),2)</f>
        <v>0</v>
      </c>
      <c r="AB134" s="27">
        <f>ROUND(IF(AQ134="1",BH134,0),2)</f>
        <v>0</v>
      </c>
      <c r="AC134" s="27">
        <f>ROUND(IF(AQ134="1",BI134,0),2)</f>
        <v>0</v>
      </c>
      <c r="AD134" s="27">
        <f>ROUND(IF(AQ134="7",BH134,0),2)</f>
        <v>0</v>
      </c>
      <c r="AE134" s="27">
        <f>ROUND(IF(AQ134="7",BI134,0),2)</f>
        <v>0</v>
      </c>
      <c r="AF134" s="27">
        <f>ROUND(IF(AQ134="2",BH134,0),2)</f>
        <v>0</v>
      </c>
      <c r="AG134" s="27">
        <f>ROUND(IF(AQ134="2",BI134,0),2)</f>
        <v>0</v>
      </c>
      <c r="AH134" s="27">
        <f>ROUND(IF(AQ134="0",BJ134,0),2)</f>
        <v>0</v>
      </c>
      <c r="AI134" s="10" t="s">
        <v>55</v>
      </c>
      <c r="AJ134" s="27">
        <f>IF(AN134=0,J134,0)</f>
        <v>0</v>
      </c>
      <c r="AK134" s="27">
        <f>IF(AN134=12,J134,0)</f>
        <v>0</v>
      </c>
      <c r="AL134" s="27">
        <f>IF(AN134=21,J134,0)</f>
        <v>0</v>
      </c>
      <c r="AN134" s="27">
        <v>21</v>
      </c>
      <c r="AO134" s="27">
        <f>G134*0.019409283</f>
        <v>0</v>
      </c>
      <c r="AP134" s="27">
        <f>G134*(1-0.019409283)</f>
        <v>0</v>
      </c>
      <c r="AQ134" s="29" t="s">
        <v>117</v>
      </c>
      <c r="AV134" s="27">
        <f>ROUND(AW134+AX134,2)</f>
        <v>0</v>
      </c>
      <c r="AW134" s="27">
        <f>ROUND(F134*AO134,2)</f>
        <v>0</v>
      </c>
      <c r="AX134" s="27">
        <f>ROUND(F134*AP134,2)</f>
        <v>0</v>
      </c>
      <c r="AY134" s="29" t="s">
        <v>318</v>
      </c>
      <c r="AZ134" s="29" t="s">
        <v>319</v>
      </c>
      <c r="BA134" s="10" t="s">
        <v>65</v>
      </c>
      <c r="BC134" s="27">
        <f>AW134+AX134</f>
        <v>0</v>
      </c>
      <c r="BD134" s="27">
        <f>G134/(100-BE134)*100</f>
        <v>0</v>
      </c>
      <c r="BE134" s="27">
        <v>0</v>
      </c>
      <c r="BF134" s="27">
        <f>L134</f>
        <v>3.0000000000000003E-4</v>
      </c>
      <c r="BH134" s="27">
        <f>F134*AO134</f>
        <v>0</v>
      </c>
      <c r="BI134" s="27">
        <f>F134*AP134</f>
        <v>0</v>
      </c>
      <c r="BJ134" s="27">
        <f>F134*G134</f>
        <v>0</v>
      </c>
      <c r="BK134" s="29" t="s">
        <v>66</v>
      </c>
      <c r="BL134" s="27">
        <v>721</v>
      </c>
      <c r="BW134" s="27">
        <v>21</v>
      </c>
      <c r="BX134" s="4" t="s">
        <v>326</v>
      </c>
    </row>
    <row r="135" spans="1:76" ht="13.5" customHeight="1" x14ac:dyDescent="0.25">
      <c r="A135" s="30"/>
      <c r="C135" s="135" t="s">
        <v>327</v>
      </c>
      <c r="D135" s="136"/>
      <c r="E135" s="136"/>
      <c r="F135" s="136"/>
      <c r="G135" s="136"/>
      <c r="H135" s="136"/>
      <c r="I135" s="136"/>
      <c r="J135" s="136"/>
      <c r="K135" s="136"/>
      <c r="L135" s="136"/>
      <c r="M135" s="137"/>
    </row>
    <row r="136" spans="1:76" x14ac:dyDescent="0.25">
      <c r="A136" s="30"/>
      <c r="C136" s="31" t="s">
        <v>328</v>
      </c>
      <c r="D136" s="31" t="s">
        <v>55</v>
      </c>
      <c r="F136" s="32">
        <v>6</v>
      </c>
      <c r="M136" s="33"/>
    </row>
    <row r="137" spans="1:76" x14ac:dyDescent="0.25">
      <c r="A137" s="2" t="s">
        <v>329</v>
      </c>
      <c r="B137" s="3" t="s">
        <v>330</v>
      </c>
      <c r="C137" s="80" t="s">
        <v>331</v>
      </c>
      <c r="D137" s="73"/>
      <c r="E137" s="3" t="s">
        <v>103</v>
      </c>
      <c r="F137" s="27">
        <v>3</v>
      </c>
      <c r="G137" s="67">
        <v>0</v>
      </c>
      <c r="H137" s="27">
        <f>ROUND(F137*AO137,2)</f>
        <v>0</v>
      </c>
      <c r="I137" s="27">
        <f>ROUND(F137*AP137,2)</f>
        <v>0</v>
      </c>
      <c r="J137" s="27">
        <f>ROUND(F137*G137,2)</f>
        <v>0</v>
      </c>
      <c r="K137" s="27">
        <v>1.1999999999999999E-3</v>
      </c>
      <c r="L137" s="27">
        <f>F137*K137</f>
        <v>3.5999999999999999E-3</v>
      </c>
      <c r="M137" s="28" t="s">
        <v>62</v>
      </c>
      <c r="Z137" s="27">
        <f>ROUND(IF(AQ137="5",BJ137,0),2)</f>
        <v>0</v>
      </c>
      <c r="AB137" s="27">
        <f>ROUND(IF(AQ137="1",BH137,0),2)</f>
        <v>0</v>
      </c>
      <c r="AC137" s="27">
        <f>ROUND(IF(AQ137="1",BI137,0),2)</f>
        <v>0</v>
      </c>
      <c r="AD137" s="27">
        <f>ROUND(IF(AQ137="7",BH137,0),2)</f>
        <v>0</v>
      </c>
      <c r="AE137" s="27">
        <f>ROUND(IF(AQ137="7",BI137,0),2)</f>
        <v>0</v>
      </c>
      <c r="AF137" s="27">
        <f>ROUND(IF(AQ137="2",BH137,0),2)</f>
        <v>0</v>
      </c>
      <c r="AG137" s="27">
        <f>ROUND(IF(AQ137="2",BI137,0),2)</f>
        <v>0</v>
      </c>
      <c r="AH137" s="27">
        <f>ROUND(IF(AQ137="0",BJ137,0),2)</f>
        <v>0</v>
      </c>
      <c r="AI137" s="10" t="s">
        <v>55</v>
      </c>
      <c r="AJ137" s="27">
        <f>IF(AN137=0,J137,0)</f>
        <v>0</v>
      </c>
      <c r="AK137" s="27">
        <f>IF(AN137=12,J137,0)</f>
        <v>0</v>
      </c>
      <c r="AL137" s="27">
        <f>IF(AN137=21,J137,0)</f>
        <v>0</v>
      </c>
      <c r="AN137" s="27">
        <v>21</v>
      </c>
      <c r="AO137" s="27">
        <f>G137*1</f>
        <v>0</v>
      </c>
      <c r="AP137" s="27">
        <f>G137*(1-1)</f>
        <v>0</v>
      </c>
      <c r="AQ137" s="29" t="s">
        <v>117</v>
      </c>
      <c r="AV137" s="27">
        <f>ROUND(AW137+AX137,2)</f>
        <v>0</v>
      </c>
      <c r="AW137" s="27">
        <f>ROUND(F137*AO137,2)</f>
        <v>0</v>
      </c>
      <c r="AX137" s="27">
        <f>ROUND(F137*AP137,2)</f>
        <v>0</v>
      </c>
      <c r="AY137" s="29" t="s">
        <v>318</v>
      </c>
      <c r="AZ137" s="29" t="s">
        <v>319</v>
      </c>
      <c r="BA137" s="10" t="s">
        <v>65</v>
      </c>
      <c r="BC137" s="27">
        <f>AW137+AX137</f>
        <v>0</v>
      </c>
      <c r="BD137" s="27">
        <f>G137/(100-BE137)*100</f>
        <v>0</v>
      </c>
      <c r="BE137" s="27">
        <v>0</v>
      </c>
      <c r="BF137" s="27">
        <f>L137</f>
        <v>3.5999999999999999E-3</v>
      </c>
      <c r="BH137" s="27">
        <f>F137*AO137</f>
        <v>0</v>
      </c>
      <c r="BI137" s="27">
        <f>F137*AP137</f>
        <v>0</v>
      </c>
      <c r="BJ137" s="27">
        <f>F137*G137</f>
        <v>0</v>
      </c>
      <c r="BK137" s="29" t="s">
        <v>289</v>
      </c>
      <c r="BL137" s="27">
        <v>721</v>
      </c>
      <c r="BW137" s="27">
        <v>21</v>
      </c>
      <c r="BX137" s="4" t="s">
        <v>331</v>
      </c>
    </row>
    <row r="138" spans="1:76" x14ac:dyDescent="0.25">
      <c r="A138" s="30"/>
      <c r="C138" s="31" t="s">
        <v>82</v>
      </c>
      <c r="D138" s="31" t="s">
        <v>55</v>
      </c>
      <c r="F138" s="32">
        <v>3</v>
      </c>
      <c r="M138" s="33"/>
    </row>
    <row r="139" spans="1:76" x14ac:dyDescent="0.25">
      <c r="A139" s="2" t="s">
        <v>332</v>
      </c>
      <c r="B139" s="3" t="s">
        <v>333</v>
      </c>
      <c r="C139" s="80" t="s">
        <v>334</v>
      </c>
      <c r="D139" s="73"/>
      <c r="E139" s="3" t="s">
        <v>103</v>
      </c>
      <c r="F139" s="27">
        <v>3</v>
      </c>
      <c r="G139" s="67">
        <v>0</v>
      </c>
      <c r="H139" s="27">
        <f>ROUND(F139*AO139,2)</f>
        <v>0</v>
      </c>
      <c r="I139" s="27">
        <f>ROUND(F139*AP139,2)</f>
        <v>0</v>
      </c>
      <c r="J139" s="27">
        <f>ROUND(F139*G139,2)</f>
        <v>0</v>
      </c>
      <c r="K139" s="27">
        <v>2.7100000000000002E-3</v>
      </c>
      <c r="L139" s="27">
        <f>F139*K139</f>
        <v>8.1300000000000001E-3</v>
      </c>
      <c r="M139" s="28" t="s">
        <v>62</v>
      </c>
      <c r="Z139" s="27">
        <f>ROUND(IF(AQ139="5",BJ139,0),2)</f>
        <v>0</v>
      </c>
      <c r="AB139" s="27">
        <f>ROUND(IF(AQ139="1",BH139,0),2)</f>
        <v>0</v>
      </c>
      <c r="AC139" s="27">
        <f>ROUND(IF(AQ139="1",BI139,0),2)</f>
        <v>0</v>
      </c>
      <c r="AD139" s="27">
        <f>ROUND(IF(AQ139="7",BH139,0),2)</f>
        <v>0</v>
      </c>
      <c r="AE139" s="27">
        <f>ROUND(IF(AQ139="7",BI139,0),2)</f>
        <v>0</v>
      </c>
      <c r="AF139" s="27">
        <f>ROUND(IF(AQ139="2",BH139,0),2)</f>
        <v>0</v>
      </c>
      <c r="AG139" s="27">
        <f>ROUND(IF(AQ139="2",BI139,0),2)</f>
        <v>0</v>
      </c>
      <c r="AH139" s="27">
        <f>ROUND(IF(AQ139="0",BJ139,0),2)</f>
        <v>0</v>
      </c>
      <c r="AI139" s="10" t="s">
        <v>55</v>
      </c>
      <c r="AJ139" s="27">
        <f>IF(AN139=0,J139,0)</f>
        <v>0</v>
      </c>
      <c r="AK139" s="27">
        <f>IF(AN139=12,J139,0)</f>
        <v>0</v>
      </c>
      <c r="AL139" s="27">
        <f>IF(AN139=21,J139,0)</f>
        <v>0</v>
      </c>
      <c r="AN139" s="27">
        <v>21</v>
      </c>
      <c r="AO139" s="27">
        <f>G139*1</f>
        <v>0</v>
      </c>
      <c r="AP139" s="27">
        <f>G139*(1-1)</f>
        <v>0</v>
      </c>
      <c r="AQ139" s="29" t="s">
        <v>117</v>
      </c>
      <c r="AV139" s="27">
        <f>ROUND(AW139+AX139,2)</f>
        <v>0</v>
      </c>
      <c r="AW139" s="27">
        <f>ROUND(F139*AO139,2)</f>
        <v>0</v>
      </c>
      <c r="AX139" s="27">
        <f>ROUND(F139*AP139,2)</f>
        <v>0</v>
      </c>
      <c r="AY139" s="29" t="s">
        <v>318</v>
      </c>
      <c r="AZ139" s="29" t="s">
        <v>319</v>
      </c>
      <c r="BA139" s="10" t="s">
        <v>65</v>
      </c>
      <c r="BC139" s="27">
        <f>AW139+AX139</f>
        <v>0</v>
      </c>
      <c r="BD139" s="27">
        <f>G139/(100-BE139)*100</f>
        <v>0</v>
      </c>
      <c r="BE139" s="27">
        <v>0</v>
      </c>
      <c r="BF139" s="27">
        <f>L139</f>
        <v>8.1300000000000001E-3</v>
      </c>
      <c r="BH139" s="27">
        <f>F139*AO139</f>
        <v>0</v>
      </c>
      <c r="BI139" s="27">
        <f>F139*AP139</f>
        <v>0</v>
      </c>
      <c r="BJ139" s="27">
        <f>F139*G139</f>
        <v>0</v>
      </c>
      <c r="BK139" s="29" t="s">
        <v>289</v>
      </c>
      <c r="BL139" s="27">
        <v>721</v>
      </c>
      <c r="BW139" s="27">
        <v>21</v>
      </c>
      <c r="BX139" s="4" t="s">
        <v>334</v>
      </c>
    </row>
    <row r="140" spans="1:76" x14ac:dyDescent="0.25">
      <c r="A140" s="30"/>
      <c r="C140" s="31" t="s">
        <v>82</v>
      </c>
      <c r="D140" s="31" t="s">
        <v>55</v>
      </c>
      <c r="F140" s="32">
        <v>3</v>
      </c>
      <c r="M140" s="33"/>
    </row>
    <row r="141" spans="1:76" x14ac:dyDescent="0.25">
      <c r="A141" s="2" t="s">
        <v>335</v>
      </c>
      <c r="B141" s="3" t="s">
        <v>336</v>
      </c>
      <c r="C141" s="80" t="s">
        <v>337</v>
      </c>
      <c r="D141" s="73"/>
      <c r="E141" s="3" t="s">
        <v>140</v>
      </c>
      <c r="F141" s="27">
        <v>12.5</v>
      </c>
      <c r="G141" s="67">
        <v>0</v>
      </c>
      <c r="H141" s="27">
        <f>ROUND(F141*AO141,2)</f>
        <v>0</v>
      </c>
      <c r="I141" s="27">
        <f>ROUND(F141*AP141,2)</f>
        <v>0</v>
      </c>
      <c r="J141" s="27">
        <f>ROUND(F141*G141,2)</f>
        <v>0</v>
      </c>
      <c r="K141" s="27">
        <v>0.90832000000000002</v>
      </c>
      <c r="L141" s="27">
        <f>F141*K141</f>
        <v>11.354000000000001</v>
      </c>
      <c r="M141" s="28" t="s">
        <v>62</v>
      </c>
      <c r="Z141" s="27">
        <f>ROUND(IF(AQ141="5",BJ141,0),2)</f>
        <v>0</v>
      </c>
      <c r="AB141" s="27">
        <f>ROUND(IF(AQ141="1",BH141,0),2)</f>
        <v>0</v>
      </c>
      <c r="AC141" s="27">
        <f>ROUND(IF(AQ141="1",BI141,0),2)</f>
        <v>0</v>
      </c>
      <c r="AD141" s="27">
        <f>ROUND(IF(AQ141="7",BH141,0),2)</f>
        <v>0</v>
      </c>
      <c r="AE141" s="27">
        <f>ROUND(IF(AQ141="7",BI141,0),2)</f>
        <v>0</v>
      </c>
      <c r="AF141" s="27">
        <f>ROUND(IF(AQ141="2",BH141,0),2)</f>
        <v>0</v>
      </c>
      <c r="AG141" s="27">
        <f>ROUND(IF(AQ141="2",BI141,0),2)</f>
        <v>0</v>
      </c>
      <c r="AH141" s="27">
        <f>ROUND(IF(AQ141="0",BJ141,0),2)</f>
        <v>0</v>
      </c>
      <c r="AI141" s="10" t="s">
        <v>55</v>
      </c>
      <c r="AJ141" s="27">
        <f>IF(AN141=0,J141,0)</f>
        <v>0</v>
      </c>
      <c r="AK141" s="27">
        <f>IF(AN141=12,J141,0)</f>
        <v>0</v>
      </c>
      <c r="AL141" s="27">
        <f>IF(AN141=21,J141,0)</f>
        <v>0</v>
      </c>
      <c r="AN141" s="27">
        <v>21</v>
      </c>
      <c r="AO141" s="27">
        <f>G141*0.257754301</f>
        <v>0</v>
      </c>
      <c r="AP141" s="27">
        <f>G141*(1-0.257754301)</f>
        <v>0</v>
      </c>
      <c r="AQ141" s="29" t="s">
        <v>117</v>
      </c>
      <c r="AV141" s="27">
        <f>ROUND(AW141+AX141,2)</f>
        <v>0</v>
      </c>
      <c r="AW141" s="27">
        <f>ROUND(F141*AO141,2)</f>
        <v>0</v>
      </c>
      <c r="AX141" s="27">
        <f>ROUND(F141*AP141,2)</f>
        <v>0</v>
      </c>
      <c r="AY141" s="29" t="s">
        <v>318</v>
      </c>
      <c r="AZ141" s="29" t="s">
        <v>319</v>
      </c>
      <c r="BA141" s="10" t="s">
        <v>65</v>
      </c>
      <c r="BC141" s="27">
        <f>AW141+AX141</f>
        <v>0</v>
      </c>
      <c r="BD141" s="27">
        <f>G141/(100-BE141)*100</f>
        <v>0</v>
      </c>
      <c r="BE141" s="27">
        <v>0</v>
      </c>
      <c r="BF141" s="27">
        <f>L141</f>
        <v>11.354000000000001</v>
      </c>
      <c r="BH141" s="27">
        <f>F141*AO141</f>
        <v>0</v>
      </c>
      <c r="BI141" s="27">
        <f>F141*AP141</f>
        <v>0</v>
      </c>
      <c r="BJ141" s="27">
        <f>F141*G141</f>
        <v>0</v>
      </c>
      <c r="BK141" s="29" t="s">
        <v>66</v>
      </c>
      <c r="BL141" s="27">
        <v>721</v>
      </c>
      <c r="BW141" s="27">
        <v>21</v>
      </c>
      <c r="BX141" s="4" t="s">
        <v>337</v>
      </c>
    </row>
    <row r="142" spans="1:76" ht="13.5" customHeight="1" x14ac:dyDescent="0.25">
      <c r="A142" s="30"/>
      <c r="C142" s="135" t="s">
        <v>338</v>
      </c>
      <c r="D142" s="136"/>
      <c r="E142" s="136"/>
      <c r="F142" s="136"/>
      <c r="G142" s="136"/>
      <c r="H142" s="136"/>
      <c r="I142" s="136"/>
      <c r="J142" s="136"/>
      <c r="K142" s="136"/>
      <c r="L142" s="136"/>
      <c r="M142" s="137"/>
    </row>
    <row r="143" spans="1:76" x14ac:dyDescent="0.25">
      <c r="A143" s="30"/>
      <c r="C143" s="31" t="s">
        <v>339</v>
      </c>
      <c r="D143" s="31" t="s">
        <v>69</v>
      </c>
      <c r="F143" s="32">
        <v>12.5</v>
      </c>
      <c r="M143" s="33"/>
    </row>
    <row r="144" spans="1:76" x14ac:dyDescent="0.25">
      <c r="A144" s="2" t="s">
        <v>340</v>
      </c>
      <c r="B144" s="3" t="s">
        <v>341</v>
      </c>
      <c r="C144" s="80" t="s">
        <v>342</v>
      </c>
      <c r="D144" s="73"/>
      <c r="E144" s="3" t="s">
        <v>120</v>
      </c>
      <c r="F144" s="27">
        <v>11.366</v>
      </c>
      <c r="G144" s="67">
        <v>0</v>
      </c>
      <c r="H144" s="27">
        <f>ROUND(F144*AO144,2)</f>
        <v>0</v>
      </c>
      <c r="I144" s="27">
        <f>ROUND(F144*AP144,2)</f>
        <v>0</v>
      </c>
      <c r="J144" s="27">
        <f>ROUND(F144*G144,2)</f>
        <v>0</v>
      </c>
      <c r="K144" s="27">
        <v>0</v>
      </c>
      <c r="L144" s="27">
        <f>F144*K144</f>
        <v>0</v>
      </c>
      <c r="M144" s="28" t="s">
        <v>62</v>
      </c>
      <c r="Z144" s="27">
        <f>ROUND(IF(AQ144="5",BJ144,0),2)</f>
        <v>0</v>
      </c>
      <c r="AB144" s="27">
        <f>ROUND(IF(AQ144="1",BH144,0),2)</f>
        <v>0</v>
      </c>
      <c r="AC144" s="27">
        <f>ROUND(IF(AQ144="1",BI144,0),2)</f>
        <v>0</v>
      </c>
      <c r="AD144" s="27">
        <f>ROUND(IF(AQ144="7",BH144,0),2)</f>
        <v>0</v>
      </c>
      <c r="AE144" s="27">
        <f>ROUND(IF(AQ144="7",BI144,0),2)</f>
        <v>0</v>
      </c>
      <c r="AF144" s="27">
        <f>ROUND(IF(AQ144="2",BH144,0),2)</f>
        <v>0</v>
      </c>
      <c r="AG144" s="27">
        <f>ROUND(IF(AQ144="2",BI144,0),2)</f>
        <v>0</v>
      </c>
      <c r="AH144" s="27">
        <f>ROUND(IF(AQ144="0",BJ144,0),2)</f>
        <v>0</v>
      </c>
      <c r="AI144" s="10" t="s">
        <v>55</v>
      </c>
      <c r="AJ144" s="27">
        <f>IF(AN144=0,J144,0)</f>
        <v>0</v>
      </c>
      <c r="AK144" s="27">
        <f>IF(AN144=12,J144,0)</f>
        <v>0</v>
      </c>
      <c r="AL144" s="27">
        <f>IF(AN144=21,J144,0)</f>
        <v>0</v>
      </c>
      <c r="AN144" s="27">
        <v>21</v>
      </c>
      <c r="AO144" s="27">
        <f>G144*0</f>
        <v>0</v>
      </c>
      <c r="AP144" s="27">
        <f>G144*(1-0)</f>
        <v>0</v>
      </c>
      <c r="AQ144" s="29" t="s">
        <v>100</v>
      </c>
      <c r="AV144" s="27">
        <f>ROUND(AW144+AX144,2)</f>
        <v>0</v>
      </c>
      <c r="AW144" s="27">
        <f>ROUND(F144*AO144,2)</f>
        <v>0</v>
      </c>
      <c r="AX144" s="27">
        <f>ROUND(F144*AP144,2)</f>
        <v>0</v>
      </c>
      <c r="AY144" s="29" t="s">
        <v>318</v>
      </c>
      <c r="AZ144" s="29" t="s">
        <v>319</v>
      </c>
      <c r="BA144" s="10" t="s">
        <v>65</v>
      </c>
      <c r="BC144" s="27">
        <f>AW144+AX144</f>
        <v>0</v>
      </c>
      <c r="BD144" s="27">
        <f>G144/(100-BE144)*100</f>
        <v>0</v>
      </c>
      <c r="BE144" s="27">
        <v>0</v>
      </c>
      <c r="BF144" s="27">
        <f>L144</f>
        <v>0</v>
      </c>
      <c r="BH144" s="27">
        <f>F144*AO144</f>
        <v>0</v>
      </c>
      <c r="BI144" s="27">
        <f>F144*AP144</f>
        <v>0</v>
      </c>
      <c r="BJ144" s="27">
        <f>F144*G144</f>
        <v>0</v>
      </c>
      <c r="BK144" s="29" t="s">
        <v>66</v>
      </c>
      <c r="BL144" s="27">
        <v>721</v>
      </c>
      <c r="BW144" s="27">
        <v>21</v>
      </c>
      <c r="BX144" s="4" t="s">
        <v>342</v>
      </c>
    </row>
    <row r="145" spans="1:76" x14ac:dyDescent="0.25">
      <c r="A145" s="34" t="s">
        <v>55</v>
      </c>
      <c r="B145" s="35" t="s">
        <v>343</v>
      </c>
      <c r="C145" s="133" t="s">
        <v>344</v>
      </c>
      <c r="D145" s="134"/>
      <c r="E145" s="36" t="s">
        <v>4</v>
      </c>
      <c r="F145" s="36" t="s">
        <v>4</v>
      </c>
      <c r="G145" s="36" t="s">
        <v>4</v>
      </c>
      <c r="H145" s="1">
        <f>ROUND(SUM(H146:H156),2)</f>
        <v>0</v>
      </c>
      <c r="I145" s="1">
        <f>ROUND(SUM(I146:I156),2)</f>
        <v>0</v>
      </c>
      <c r="J145" s="1">
        <f>ROUND(SUM(J146:J156),2)</f>
        <v>0</v>
      </c>
      <c r="K145" s="10" t="s">
        <v>55</v>
      </c>
      <c r="L145" s="1">
        <f>SUM(L146:L156)</f>
        <v>6.6E-3</v>
      </c>
      <c r="M145" s="37" t="s">
        <v>55</v>
      </c>
      <c r="AI145" s="10" t="s">
        <v>55</v>
      </c>
      <c r="AS145" s="1">
        <f>SUM(AJ146:AJ156)</f>
        <v>0</v>
      </c>
      <c r="AT145" s="1">
        <f>SUM(AK146:AK156)</f>
        <v>0</v>
      </c>
      <c r="AU145" s="1">
        <f>SUM(AL146:AL156)</f>
        <v>0</v>
      </c>
    </row>
    <row r="146" spans="1:76" x14ac:dyDescent="0.25">
      <c r="A146" s="2" t="s">
        <v>345</v>
      </c>
      <c r="B146" s="3" t="s">
        <v>346</v>
      </c>
      <c r="C146" s="80" t="s">
        <v>347</v>
      </c>
      <c r="D146" s="73"/>
      <c r="E146" s="3" t="s">
        <v>103</v>
      </c>
      <c r="F146" s="27">
        <v>2</v>
      </c>
      <c r="G146" s="67">
        <v>0</v>
      </c>
      <c r="H146" s="27">
        <f>ROUND(F146*AO146,2)</f>
        <v>0</v>
      </c>
      <c r="I146" s="27">
        <f>ROUND(F146*AP146,2)</f>
        <v>0</v>
      </c>
      <c r="J146" s="27">
        <f>ROUND(F146*G146,2)</f>
        <v>0</v>
      </c>
      <c r="K146" s="27">
        <v>0</v>
      </c>
      <c r="L146" s="27">
        <f>F146*K146</f>
        <v>0</v>
      </c>
      <c r="M146" s="28" t="s">
        <v>62</v>
      </c>
      <c r="Z146" s="27">
        <f>ROUND(IF(AQ146="5",BJ146,0),2)</f>
        <v>0</v>
      </c>
      <c r="AB146" s="27">
        <f>ROUND(IF(AQ146="1",BH146,0),2)</f>
        <v>0</v>
      </c>
      <c r="AC146" s="27">
        <f>ROUND(IF(AQ146="1",BI146,0),2)</f>
        <v>0</v>
      </c>
      <c r="AD146" s="27">
        <f>ROUND(IF(AQ146="7",BH146,0),2)</f>
        <v>0</v>
      </c>
      <c r="AE146" s="27">
        <f>ROUND(IF(AQ146="7",BI146,0),2)</f>
        <v>0</v>
      </c>
      <c r="AF146" s="27">
        <f>ROUND(IF(AQ146="2",BH146,0),2)</f>
        <v>0</v>
      </c>
      <c r="AG146" s="27">
        <f>ROUND(IF(AQ146="2",BI146,0),2)</f>
        <v>0</v>
      </c>
      <c r="AH146" s="27">
        <f>ROUND(IF(AQ146="0",BJ146,0),2)</f>
        <v>0</v>
      </c>
      <c r="AI146" s="10" t="s">
        <v>55</v>
      </c>
      <c r="AJ146" s="27">
        <f>IF(AN146=0,J146,0)</f>
        <v>0</v>
      </c>
      <c r="AK146" s="27">
        <f>IF(AN146=12,J146,0)</f>
        <v>0</v>
      </c>
      <c r="AL146" s="27">
        <f>IF(AN146=21,J146,0)</f>
        <v>0</v>
      </c>
      <c r="AN146" s="27">
        <v>21</v>
      </c>
      <c r="AO146" s="27">
        <f>G146*0</f>
        <v>0</v>
      </c>
      <c r="AP146" s="27">
        <f>G146*(1-0)</f>
        <v>0</v>
      </c>
      <c r="AQ146" s="29" t="s">
        <v>117</v>
      </c>
      <c r="AV146" s="27">
        <f>ROUND(AW146+AX146,2)</f>
        <v>0</v>
      </c>
      <c r="AW146" s="27">
        <f>ROUND(F146*AO146,2)</f>
        <v>0</v>
      </c>
      <c r="AX146" s="27">
        <f>ROUND(F146*AP146,2)</f>
        <v>0</v>
      </c>
      <c r="AY146" s="29" t="s">
        <v>348</v>
      </c>
      <c r="AZ146" s="29" t="s">
        <v>319</v>
      </c>
      <c r="BA146" s="10" t="s">
        <v>65</v>
      </c>
      <c r="BC146" s="27">
        <f>AW146+AX146</f>
        <v>0</v>
      </c>
      <c r="BD146" s="27">
        <f>G146/(100-BE146)*100</f>
        <v>0</v>
      </c>
      <c r="BE146" s="27">
        <v>0</v>
      </c>
      <c r="BF146" s="27">
        <f>L146</f>
        <v>0</v>
      </c>
      <c r="BH146" s="27">
        <f>F146*AO146</f>
        <v>0</v>
      </c>
      <c r="BI146" s="27">
        <f>F146*AP146</f>
        <v>0</v>
      </c>
      <c r="BJ146" s="27">
        <f>F146*G146</f>
        <v>0</v>
      </c>
      <c r="BK146" s="29" t="s">
        <v>66</v>
      </c>
      <c r="BL146" s="27">
        <v>728</v>
      </c>
      <c r="BW146" s="27">
        <v>21</v>
      </c>
      <c r="BX146" s="4" t="s">
        <v>347</v>
      </c>
    </row>
    <row r="147" spans="1:76" ht="13.5" customHeight="1" x14ac:dyDescent="0.25">
      <c r="A147" s="30"/>
      <c r="C147" s="135" t="s">
        <v>349</v>
      </c>
      <c r="D147" s="136"/>
      <c r="E147" s="136"/>
      <c r="F147" s="136"/>
      <c r="G147" s="136"/>
      <c r="H147" s="136"/>
      <c r="I147" s="136"/>
      <c r="J147" s="136"/>
      <c r="K147" s="136"/>
      <c r="L147" s="136"/>
      <c r="M147" s="137"/>
    </row>
    <row r="148" spans="1:76" x14ac:dyDescent="0.25">
      <c r="A148" s="30"/>
      <c r="C148" s="31" t="s">
        <v>72</v>
      </c>
      <c r="D148" s="31" t="s">
        <v>350</v>
      </c>
      <c r="F148" s="32">
        <v>2</v>
      </c>
      <c r="M148" s="33"/>
    </row>
    <row r="149" spans="1:76" x14ac:dyDescent="0.25">
      <c r="A149" s="2" t="s">
        <v>351</v>
      </c>
      <c r="B149" s="3" t="s">
        <v>352</v>
      </c>
      <c r="C149" s="80" t="s">
        <v>353</v>
      </c>
      <c r="D149" s="73"/>
      <c r="E149" s="3" t="s">
        <v>103</v>
      </c>
      <c r="F149" s="27">
        <v>2</v>
      </c>
      <c r="G149" s="67">
        <v>0</v>
      </c>
      <c r="H149" s="27">
        <f>ROUND(F149*AO149,2)</f>
        <v>0</v>
      </c>
      <c r="I149" s="27">
        <f>ROUND(F149*AP149,2)</f>
        <v>0</v>
      </c>
      <c r="J149" s="27">
        <f>ROUND(F149*G149,2)</f>
        <v>0</v>
      </c>
      <c r="K149" s="27">
        <v>3.0000000000000001E-3</v>
      </c>
      <c r="L149" s="27">
        <f>F149*K149</f>
        <v>6.0000000000000001E-3</v>
      </c>
      <c r="M149" s="28" t="s">
        <v>354</v>
      </c>
      <c r="Z149" s="27">
        <f>ROUND(IF(AQ149="5",BJ149,0),2)</f>
        <v>0</v>
      </c>
      <c r="AB149" s="27">
        <f>ROUND(IF(AQ149="1",BH149,0),2)</f>
        <v>0</v>
      </c>
      <c r="AC149" s="27">
        <f>ROUND(IF(AQ149="1",BI149,0),2)</f>
        <v>0</v>
      </c>
      <c r="AD149" s="27">
        <f>ROUND(IF(AQ149="7",BH149,0),2)</f>
        <v>0</v>
      </c>
      <c r="AE149" s="27">
        <f>ROUND(IF(AQ149="7",BI149,0),2)</f>
        <v>0</v>
      </c>
      <c r="AF149" s="27">
        <f>ROUND(IF(AQ149="2",BH149,0),2)</f>
        <v>0</v>
      </c>
      <c r="AG149" s="27">
        <f>ROUND(IF(AQ149="2",BI149,0),2)</f>
        <v>0</v>
      </c>
      <c r="AH149" s="27">
        <f>ROUND(IF(AQ149="0",BJ149,0),2)</f>
        <v>0</v>
      </c>
      <c r="AI149" s="10" t="s">
        <v>55</v>
      </c>
      <c r="AJ149" s="27">
        <f>IF(AN149=0,J149,0)</f>
        <v>0</v>
      </c>
      <c r="AK149" s="27">
        <f>IF(AN149=12,J149,0)</f>
        <v>0</v>
      </c>
      <c r="AL149" s="27">
        <f>IF(AN149=21,J149,0)</f>
        <v>0</v>
      </c>
      <c r="AN149" s="27">
        <v>21</v>
      </c>
      <c r="AO149" s="27">
        <f>G149*1</f>
        <v>0</v>
      </c>
      <c r="AP149" s="27">
        <f>G149*(1-1)</f>
        <v>0</v>
      </c>
      <c r="AQ149" s="29" t="s">
        <v>117</v>
      </c>
      <c r="AV149" s="27">
        <f>ROUND(AW149+AX149,2)</f>
        <v>0</v>
      </c>
      <c r="AW149" s="27">
        <f>ROUND(F149*AO149,2)</f>
        <v>0</v>
      </c>
      <c r="AX149" s="27">
        <f>ROUND(F149*AP149,2)</f>
        <v>0</v>
      </c>
      <c r="AY149" s="29" t="s">
        <v>348</v>
      </c>
      <c r="AZ149" s="29" t="s">
        <v>319</v>
      </c>
      <c r="BA149" s="10" t="s">
        <v>65</v>
      </c>
      <c r="BC149" s="27">
        <f>AW149+AX149</f>
        <v>0</v>
      </c>
      <c r="BD149" s="27">
        <f>G149/(100-BE149)*100</f>
        <v>0</v>
      </c>
      <c r="BE149" s="27">
        <v>0</v>
      </c>
      <c r="BF149" s="27">
        <f>L149</f>
        <v>6.0000000000000001E-3</v>
      </c>
      <c r="BH149" s="27">
        <f>F149*AO149</f>
        <v>0</v>
      </c>
      <c r="BI149" s="27">
        <f>F149*AP149</f>
        <v>0</v>
      </c>
      <c r="BJ149" s="27">
        <f>F149*G149</f>
        <v>0</v>
      </c>
      <c r="BK149" s="29" t="s">
        <v>289</v>
      </c>
      <c r="BL149" s="27">
        <v>728</v>
      </c>
      <c r="BW149" s="27">
        <v>21</v>
      </c>
      <c r="BX149" s="4" t="s">
        <v>353</v>
      </c>
    </row>
    <row r="150" spans="1:76" x14ac:dyDescent="0.25">
      <c r="A150" s="30"/>
      <c r="C150" s="31" t="s">
        <v>72</v>
      </c>
      <c r="D150" s="31" t="s">
        <v>350</v>
      </c>
      <c r="F150" s="32">
        <v>2</v>
      </c>
      <c r="M150" s="33"/>
    </row>
    <row r="151" spans="1:76" x14ac:dyDescent="0.25">
      <c r="A151" s="2" t="s">
        <v>355</v>
      </c>
      <c r="B151" s="3" t="s">
        <v>356</v>
      </c>
      <c r="C151" s="80" t="s">
        <v>357</v>
      </c>
      <c r="D151" s="73"/>
      <c r="E151" s="3" t="s">
        <v>103</v>
      </c>
      <c r="F151" s="27">
        <v>2</v>
      </c>
      <c r="G151" s="67">
        <v>0</v>
      </c>
      <c r="H151" s="27">
        <f>ROUND(F151*AO151,2)</f>
        <v>0</v>
      </c>
      <c r="I151" s="27">
        <f>ROUND(F151*AP151,2)</f>
        <v>0</v>
      </c>
      <c r="J151" s="27">
        <f>ROUND(F151*G151,2)</f>
        <v>0</v>
      </c>
      <c r="K151" s="27">
        <v>0</v>
      </c>
      <c r="L151" s="27">
        <f>F151*K151</f>
        <v>0</v>
      </c>
      <c r="M151" s="28" t="s">
        <v>62</v>
      </c>
      <c r="Z151" s="27">
        <f>ROUND(IF(AQ151="5",BJ151,0),2)</f>
        <v>0</v>
      </c>
      <c r="AB151" s="27">
        <f>ROUND(IF(AQ151="1",BH151,0),2)</f>
        <v>0</v>
      </c>
      <c r="AC151" s="27">
        <f>ROUND(IF(AQ151="1",BI151,0),2)</f>
        <v>0</v>
      </c>
      <c r="AD151" s="27">
        <f>ROUND(IF(AQ151="7",BH151,0),2)</f>
        <v>0</v>
      </c>
      <c r="AE151" s="27">
        <f>ROUND(IF(AQ151="7",BI151,0),2)</f>
        <v>0</v>
      </c>
      <c r="AF151" s="27">
        <f>ROUND(IF(AQ151="2",BH151,0),2)</f>
        <v>0</v>
      </c>
      <c r="AG151" s="27">
        <f>ROUND(IF(AQ151="2",BI151,0),2)</f>
        <v>0</v>
      </c>
      <c r="AH151" s="27">
        <f>ROUND(IF(AQ151="0",BJ151,0),2)</f>
        <v>0</v>
      </c>
      <c r="AI151" s="10" t="s">
        <v>55</v>
      </c>
      <c r="AJ151" s="27">
        <f>IF(AN151=0,J151,0)</f>
        <v>0</v>
      </c>
      <c r="AK151" s="27">
        <f>IF(AN151=12,J151,0)</f>
        <v>0</v>
      </c>
      <c r="AL151" s="27">
        <f>IF(AN151=21,J151,0)</f>
        <v>0</v>
      </c>
      <c r="AN151" s="27">
        <v>21</v>
      </c>
      <c r="AO151" s="27">
        <f>G151*0</f>
        <v>0</v>
      </c>
      <c r="AP151" s="27">
        <f>G151*(1-0)</f>
        <v>0</v>
      </c>
      <c r="AQ151" s="29" t="s">
        <v>72</v>
      </c>
      <c r="AV151" s="27">
        <f>ROUND(AW151+AX151,2)</f>
        <v>0</v>
      </c>
      <c r="AW151" s="27">
        <f>ROUND(F151*AO151,2)</f>
        <v>0</v>
      </c>
      <c r="AX151" s="27">
        <f>ROUND(F151*AP151,2)</f>
        <v>0</v>
      </c>
      <c r="AY151" s="29" t="s">
        <v>348</v>
      </c>
      <c r="AZ151" s="29" t="s">
        <v>319</v>
      </c>
      <c r="BA151" s="10" t="s">
        <v>65</v>
      </c>
      <c r="BC151" s="27">
        <f>AW151+AX151</f>
        <v>0</v>
      </c>
      <c r="BD151" s="27">
        <f>G151/(100-BE151)*100</f>
        <v>0</v>
      </c>
      <c r="BE151" s="27">
        <v>0</v>
      </c>
      <c r="BF151" s="27">
        <f>L151</f>
        <v>0</v>
      </c>
      <c r="BH151" s="27">
        <f>F151*AO151</f>
        <v>0</v>
      </c>
      <c r="BI151" s="27">
        <f>F151*AP151</f>
        <v>0</v>
      </c>
      <c r="BJ151" s="27">
        <f>F151*G151</f>
        <v>0</v>
      </c>
      <c r="BK151" s="29" t="s">
        <v>66</v>
      </c>
      <c r="BL151" s="27">
        <v>728</v>
      </c>
      <c r="BW151" s="27">
        <v>21</v>
      </c>
      <c r="BX151" s="4" t="s">
        <v>357</v>
      </c>
    </row>
    <row r="152" spans="1:76" ht="13.5" customHeight="1" x14ac:dyDescent="0.25">
      <c r="A152" s="30"/>
      <c r="C152" s="135" t="s">
        <v>358</v>
      </c>
      <c r="D152" s="136"/>
      <c r="E152" s="136"/>
      <c r="F152" s="136"/>
      <c r="G152" s="136"/>
      <c r="H152" s="136"/>
      <c r="I152" s="136"/>
      <c r="J152" s="136"/>
      <c r="K152" s="136"/>
      <c r="L152" s="136"/>
      <c r="M152" s="137"/>
    </row>
    <row r="153" spans="1:76" x14ac:dyDescent="0.25">
      <c r="A153" s="30"/>
      <c r="C153" s="31" t="s">
        <v>72</v>
      </c>
      <c r="D153" s="31" t="s">
        <v>55</v>
      </c>
      <c r="F153" s="32">
        <v>2</v>
      </c>
      <c r="M153" s="33"/>
    </row>
    <row r="154" spans="1:76" x14ac:dyDescent="0.25">
      <c r="A154" s="2" t="s">
        <v>359</v>
      </c>
      <c r="B154" s="3" t="s">
        <v>360</v>
      </c>
      <c r="C154" s="80" t="s">
        <v>361</v>
      </c>
      <c r="D154" s="73"/>
      <c r="E154" s="3" t="s">
        <v>103</v>
      </c>
      <c r="F154" s="27">
        <v>2</v>
      </c>
      <c r="G154" s="67">
        <v>0</v>
      </c>
      <c r="H154" s="27">
        <f>ROUND(F154*AO154,2)</f>
        <v>0</v>
      </c>
      <c r="I154" s="27">
        <f>ROUND(F154*AP154,2)</f>
        <v>0</v>
      </c>
      <c r="J154" s="27">
        <f>ROUND(F154*G154,2)</f>
        <v>0</v>
      </c>
      <c r="K154" s="27">
        <v>2.9999999999999997E-4</v>
      </c>
      <c r="L154" s="27">
        <f>F154*K154</f>
        <v>5.9999999999999995E-4</v>
      </c>
      <c r="M154" s="28" t="s">
        <v>354</v>
      </c>
      <c r="Z154" s="27">
        <f>ROUND(IF(AQ154="5",BJ154,0),2)</f>
        <v>0</v>
      </c>
      <c r="AB154" s="27">
        <f>ROUND(IF(AQ154="1",BH154,0),2)</f>
        <v>0</v>
      </c>
      <c r="AC154" s="27">
        <f>ROUND(IF(AQ154="1",BI154,0),2)</f>
        <v>0</v>
      </c>
      <c r="AD154" s="27">
        <f>ROUND(IF(AQ154="7",BH154,0),2)</f>
        <v>0</v>
      </c>
      <c r="AE154" s="27">
        <f>ROUND(IF(AQ154="7",BI154,0),2)</f>
        <v>0</v>
      </c>
      <c r="AF154" s="27">
        <f>ROUND(IF(AQ154="2",BH154,0),2)</f>
        <v>0</v>
      </c>
      <c r="AG154" s="27">
        <f>ROUND(IF(AQ154="2",BI154,0),2)</f>
        <v>0</v>
      </c>
      <c r="AH154" s="27">
        <f>ROUND(IF(AQ154="0",BJ154,0),2)</f>
        <v>0</v>
      </c>
      <c r="AI154" s="10" t="s">
        <v>55</v>
      </c>
      <c r="AJ154" s="27">
        <f>IF(AN154=0,J154,0)</f>
        <v>0</v>
      </c>
      <c r="AK154" s="27">
        <f>IF(AN154=12,J154,0)</f>
        <v>0</v>
      </c>
      <c r="AL154" s="27">
        <f>IF(AN154=21,J154,0)</f>
        <v>0</v>
      </c>
      <c r="AN154" s="27">
        <v>21</v>
      </c>
      <c r="AO154" s="27">
        <f>G154*1</f>
        <v>0</v>
      </c>
      <c r="AP154" s="27">
        <f>G154*(1-1)</f>
        <v>0</v>
      </c>
      <c r="AQ154" s="29" t="s">
        <v>117</v>
      </c>
      <c r="AV154" s="27">
        <f>ROUND(AW154+AX154,2)</f>
        <v>0</v>
      </c>
      <c r="AW154" s="27">
        <f>ROUND(F154*AO154,2)</f>
        <v>0</v>
      </c>
      <c r="AX154" s="27">
        <f>ROUND(F154*AP154,2)</f>
        <v>0</v>
      </c>
      <c r="AY154" s="29" t="s">
        <v>348</v>
      </c>
      <c r="AZ154" s="29" t="s">
        <v>319</v>
      </c>
      <c r="BA154" s="10" t="s">
        <v>65</v>
      </c>
      <c r="BC154" s="27">
        <f>AW154+AX154</f>
        <v>0</v>
      </c>
      <c r="BD154" s="27">
        <f>G154/(100-BE154)*100</f>
        <v>0</v>
      </c>
      <c r="BE154" s="27">
        <v>0</v>
      </c>
      <c r="BF154" s="27">
        <f>L154</f>
        <v>5.9999999999999995E-4</v>
      </c>
      <c r="BH154" s="27">
        <f>F154*AO154</f>
        <v>0</v>
      </c>
      <c r="BI154" s="27">
        <f>F154*AP154</f>
        <v>0</v>
      </c>
      <c r="BJ154" s="27">
        <f>F154*G154</f>
        <v>0</v>
      </c>
      <c r="BK154" s="29" t="s">
        <v>289</v>
      </c>
      <c r="BL154" s="27">
        <v>728</v>
      </c>
      <c r="BW154" s="27">
        <v>21</v>
      </c>
      <c r="BX154" s="4" t="s">
        <v>361</v>
      </c>
    </row>
    <row r="155" spans="1:76" x14ac:dyDescent="0.25">
      <c r="A155" s="30"/>
      <c r="C155" s="31" t="s">
        <v>72</v>
      </c>
      <c r="D155" s="31" t="s">
        <v>55</v>
      </c>
      <c r="F155" s="32">
        <v>2</v>
      </c>
      <c r="M155" s="33"/>
    </row>
    <row r="156" spans="1:76" x14ac:dyDescent="0.25">
      <c r="A156" s="2" t="s">
        <v>362</v>
      </c>
      <c r="B156" s="3" t="s">
        <v>363</v>
      </c>
      <c r="C156" s="80" t="s">
        <v>364</v>
      </c>
      <c r="D156" s="73"/>
      <c r="E156" s="3" t="s">
        <v>120</v>
      </c>
      <c r="F156" s="27">
        <v>7.0000000000000001E-3</v>
      </c>
      <c r="G156" s="67">
        <v>0</v>
      </c>
      <c r="H156" s="27">
        <f>ROUND(F156*AO156,2)</f>
        <v>0</v>
      </c>
      <c r="I156" s="27">
        <f>ROUND(F156*AP156,2)</f>
        <v>0</v>
      </c>
      <c r="J156" s="27">
        <f>ROUND(F156*G156,2)</f>
        <v>0</v>
      </c>
      <c r="K156" s="27">
        <v>0</v>
      </c>
      <c r="L156" s="27">
        <f>F156*K156</f>
        <v>0</v>
      </c>
      <c r="M156" s="28" t="s">
        <v>62</v>
      </c>
      <c r="Z156" s="27">
        <f>ROUND(IF(AQ156="5",BJ156,0),2)</f>
        <v>0</v>
      </c>
      <c r="AB156" s="27">
        <f>ROUND(IF(AQ156="1",BH156,0),2)</f>
        <v>0</v>
      </c>
      <c r="AC156" s="27">
        <f>ROUND(IF(AQ156="1",BI156,0),2)</f>
        <v>0</v>
      </c>
      <c r="AD156" s="27">
        <f>ROUND(IF(AQ156="7",BH156,0),2)</f>
        <v>0</v>
      </c>
      <c r="AE156" s="27">
        <f>ROUND(IF(AQ156="7",BI156,0),2)</f>
        <v>0</v>
      </c>
      <c r="AF156" s="27">
        <f>ROUND(IF(AQ156="2",BH156,0),2)</f>
        <v>0</v>
      </c>
      <c r="AG156" s="27">
        <f>ROUND(IF(AQ156="2",BI156,0),2)</f>
        <v>0</v>
      </c>
      <c r="AH156" s="27">
        <f>ROUND(IF(AQ156="0",BJ156,0),2)</f>
        <v>0</v>
      </c>
      <c r="AI156" s="10" t="s">
        <v>55</v>
      </c>
      <c r="AJ156" s="27">
        <f>IF(AN156=0,J156,0)</f>
        <v>0</v>
      </c>
      <c r="AK156" s="27">
        <f>IF(AN156=12,J156,0)</f>
        <v>0</v>
      </c>
      <c r="AL156" s="27">
        <f>IF(AN156=21,J156,0)</f>
        <v>0</v>
      </c>
      <c r="AN156" s="27">
        <v>21</v>
      </c>
      <c r="AO156" s="27">
        <f>G156*0</f>
        <v>0</v>
      </c>
      <c r="AP156" s="27">
        <f>G156*(1-0)</f>
        <v>0</v>
      </c>
      <c r="AQ156" s="29" t="s">
        <v>100</v>
      </c>
      <c r="AV156" s="27">
        <f>ROUND(AW156+AX156,2)</f>
        <v>0</v>
      </c>
      <c r="AW156" s="27">
        <f>ROUND(F156*AO156,2)</f>
        <v>0</v>
      </c>
      <c r="AX156" s="27">
        <f>ROUND(F156*AP156,2)</f>
        <v>0</v>
      </c>
      <c r="AY156" s="29" t="s">
        <v>348</v>
      </c>
      <c r="AZ156" s="29" t="s">
        <v>319</v>
      </c>
      <c r="BA156" s="10" t="s">
        <v>65</v>
      </c>
      <c r="BC156" s="27">
        <f>AW156+AX156</f>
        <v>0</v>
      </c>
      <c r="BD156" s="27">
        <f>G156/(100-BE156)*100</f>
        <v>0</v>
      </c>
      <c r="BE156" s="27">
        <v>0</v>
      </c>
      <c r="BF156" s="27">
        <f>L156</f>
        <v>0</v>
      </c>
      <c r="BH156" s="27">
        <f>F156*AO156</f>
        <v>0</v>
      </c>
      <c r="BI156" s="27">
        <f>F156*AP156</f>
        <v>0</v>
      </c>
      <c r="BJ156" s="27">
        <f>F156*G156</f>
        <v>0</v>
      </c>
      <c r="BK156" s="29" t="s">
        <v>66</v>
      </c>
      <c r="BL156" s="27">
        <v>728</v>
      </c>
      <c r="BW156" s="27">
        <v>21</v>
      </c>
      <c r="BX156" s="4" t="s">
        <v>364</v>
      </c>
    </row>
    <row r="157" spans="1:76" x14ac:dyDescent="0.25">
      <c r="A157" s="34" t="s">
        <v>55</v>
      </c>
      <c r="B157" s="35" t="s">
        <v>365</v>
      </c>
      <c r="C157" s="133" t="s">
        <v>366</v>
      </c>
      <c r="D157" s="134"/>
      <c r="E157" s="36" t="s">
        <v>4</v>
      </c>
      <c r="F157" s="36" t="s">
        <v>4</v>
      </c>
      <c r="G157" s="36" t="s">
        <v>4</v>
      </c>
      <c r="H157" s="1">
        <f>ROUND(SUM(H158:H166),2)</f>
        <v>0</v>
      </c>
      <c r="I157" s="1">
        <f>ROUND(SUM(I158:I166),2)</f>
        <v>0</v>
      </c>
      <c r="J157" s="1">
        <f>ROUND(SUM(J158:J166),2)</f>
        <v>0</v>
      </c>
      <c r="K157" s="10" t="s">
        <v>55</v>
      </c>
      <c r="L157" s="1">
        <f>SUM(L158:L166)</f>
        <v>3.8372000000000006</v>
      </c>
      <c r="M157" s="37" t="s">
        <v>55</v>
      </c>
      <c r="AI157" s="10" t="s">
        <v>55</v>
      </c>
      <c r="AS157" s="1">
        <f>SUM(AJ158:AJ166)</f>
        <v>0</v>
      </c>
      <c r="AT157" s="1">
        <f>SUM(AK158:AK166)</f>
        <v>0</v>
      </c>
      <c r="AU157" s="1">
        <f>SUM(AL158:AL166)</f>
        <v>0</v>
      </c>
    </row>
    <row r="158" spans="1:76" x14ac:dyDescent="0.25">
      <c r="A158" s="2" t="s">
        <v>367</v>
      </c>
      <c r="B158" s="3" t="s">
        <v>368</v>
      </c>
      <c r="C158" s="80" t="s">
        <v>369</v>
      </c>
      <c r="D158" s="73"/>
      <c r="E158" s="3" t="s">
        <v>140</v>
      </c>
      <c r="F158" s="27">
        <v>481.2</v>
      </c>
      <c r="G158" s="67">
        <v>0</v>
      </c>
      <c r="H158" s="27">
        <f>ROUND(F158*AO158,2)</f>
        <v>0</v>
      </c>
      <c r="I158" s="27">
        <f>ROUND(F158*AP158,2)</f>
        <v>0</v>
      </c>
      <c r="J158" s="27">
        <f>ROUND(F158*G158,2)</f>
        <v>0</v>
      </c>
      <c r="K158" s="27">
        <v>0</v>
      </c>
      <c r="L158" s="27">
        <f>F158*K158</f>
        <v>0</v>
      </c>
      <c r="M158" s="28" t="s">
        <v>62</v>
      </c>
      <c r="Z158" s="27">
        <f>ROUND(IF(AQ158="5",BJ158,0),2)</f>
        <v>0</v>
      </c>
      <c r="AB158" s="27">
        <f>ROUND(IF(AQ158="1",BH158,0),2)</f>
        <v>0</v>
      </c>
      <c r="AC158" s="27">
        <f>ROUND(IF(AQ158="1",BI158,0),2)</f>
        <v>0</v>
      </c>
      <c r="AD158" s="27">
        <f>ROUND(IF(AQ158="7",BH158,0),2)</f>
        <v>0</v>
      </c>
      <c r="AE158" s="27">
        <f>ROUND(IF(AQ158="7",BI158,0),2)</f>
        <v>0</v>
      </c>
      <c r="AF158" s="27">
        <f>ROUND(IF(AQ158="2",BH158,0),2)</f>
        <v>0</v>
      </c>
      <c r="AG158" s="27">
        <f>ROUND(IF(AQ158="2",BI158,0),2)</f>
        <v>0</v>
      </c>
      <c r="AH158" s="27">
        <f>ROUND(IF(AQ158="0",BJ158,0),2)</f>
        <v>0</v>
      </c>
      <c r="AI158" s="10" t="s">
        <v>55</v>
      </c>
      <c r="AJ158" s="27">
        <f>IF(AN158=0,J158,0)</f>
        <v>0</v>
      </c>
      <c r="AK158" s="27">
        <f>IF(AN158=12,J158,0)</f>
        <v>0</v>
      </c>
      <c r="AL158" s="27">
        <f>IF(AN158=21,J158,0)</f>
        <v>0</v>
      </c>
      <c r="AN158" s="27">
        <v>21</v>
      </c>
      <c r="AO158" s="27">
        <f>G158*0</f>
        <v>0</v>
      </c>
      <c r="AP158" s="27">
        <f>G158*(1-0)</f>
        <v>0</v>
      </c>
      <c r="AQ158" s="29" t="s">
        <v>117</v>
      </c>
      <c r="AV158" s="27">
        <f>ROUND(AW158+AX158,2)</f>
        <v>0</v>
      </c>
      <c r="AW158" s="27">
        <f>ROUND(F158*AO158,2)</f>
        <v>0</v>
      </c>
      <c r="AX158" s="27">
        <f>ROUND(F158*AP158,2)</f>
        <v>0</v>
      </c>
      <c r="AY158" s="29" t="s">
        <v>370</v>
      </c>
      <c r="AZ158" s="29" t="s">
        <v>371</v>
      </c>
      <c r="BA158" s="10" t="s">
        <v>65</v>
      </c>
      <c r="BC158" s="27">
        <f>AW158+AX158</f>
        <v>0</v>
      </c>
      <c r="BD158" s="27">
        <f>G158/(100-BE158)*100</f>
        <v>0</v>
      </c>
      <c r="BE158" s="27">
        <v>0</v>
      </c>
      <c r="BF158" s="27">
        <f>L158</f>
        <v>0</v>
      </c>
      <c r="BH158" s="27">
        <f>F158*AO158</f>
        <v>0</v>
      </c>
      <c r="BI158" s="27">
        <f>F158*AP158</f>
        <v>0</v>
      </c>
      <c r="BJ158" s="27">
        <f>F158*G158</f>
        <v>0</v>
      </c>
      <c r="BK158" s="29" t="s">
        <v>66</v>
      </c>
      <c r="BL158" s="27">
        <v>762</v>
      </c>
      <c r="BW158" s="27">
        <v>21</v>
      </c>
      <c r="BX158" s="4" t="s">
        <v>369</v>
      </c>
    </row>
    <row r="159" spans="1:76" x14ac:dyDescent="0.25">
      <c r="A159" s="30"/>
      <c r="C159" s="31" t="s">
        <v>372</v>
      </c>
      <c r="D159" s="31" t="s">
        <v>373</v>
      </c>
      <c r="F159" s="32">
        <v>481.2</v>
      </c>
      <c r="M159" s="33"/>
    </row>
    <row r="160" spans="1:76" x14ac:dyDescent="0.25">
      <c r="A160" s="2" t="s">
        <v>374</v>
      </c>
      <c r="B160" s="3" t="s">
        <v>375</v>
      </c>
      <c r="C160" s="80" t="s">
        <v>376</v>
      </c>
      <c r="D160" s="73"/>
      <c r="E160" s="3" t="s">
        <v>103</v>
      </c>
      <c r="F160" s="27">
        <v>417.04</v>
      </c>
      <c r="G160" s="67">
        <v>0</v>
      </c>
      <c r="H160" s="27">
        <f>ROUND(F160*AO160,2)</f>
        <v>0</v>
      </c>
      <c r="I160" s="27">
        <f>ROUND(F160*AP160,2)</f>
        <v>0</v>
      </c>
      <c r="J160" s="27">
        <f>ROUND(F160*G160,2)</f>
        <v>0</v>
      </c>
      <c r="K160" s="27">
        <v>7.9000000000000008E-3</v>
      </c>
      <c r="L160" s="27">
        <f>F160*K160</f>
        <v>3.2946160000000004</v>
      </c>
      <c r="M160" s="28" t="s">
        <v>62</v>
      </c>
      <c r="Z160" s="27">
        <f>ROUND(IF(AQ160="5",BJ160,0),2)</f>
        <v>0</v>
      </c>
      <c r="AB160" s="27">
        <f>ROUND(IF(AQ160="1",BH160,0),2)</f>
        <v>0</v>
      </c>
      <c r="AC160" s="27">
        <f>ROUND(IF(AQ160="1",BI160,0),2)</f>
        <v>0</v>
      </c>
      <c r="AD160" s="27">
        <f>ROUND(IF(AQ160="7",BH160,0),2)</f>
        <v>0</v>
      </c>
      <c r="AE160" s="27">
        <f>ROUND(IF(AQ160="7",BI160,0),2)</f>
        <v>0</v>
      </c>
      <c r="AF160" s="27">
        <f>ROUND(IF(AQ160="2",BH160,0),2)</f>
        <v>0</v>
      </c>
      <c r="AG160" s="27">
        <f>ROUND(IF(AQ160="2",BI160,0),2)</f>
        <v>0</v>
      </c>
      <c r="AH160" s="27">
        <f>ROUND(IF(AQ160="0",BJ160,0),2)</f>
        <v>0</v>
      </c>
      <c r="AI160" s="10" t="s">
        <v>55</v>
      </c>
      <c r="AJ160" s="27">
        <f>IF(AN160=0,J160,0)</f>
        <v>0</v>
      </c>
      <c r="AK160" s="27">
        <f>IF(AN160=12,J160,0)</f>
        <v>0</v>
      </c>
      <c r="AL160" s="27">
        <f>IF(AN160=21,J160,0)</f>
        <v>0</v>
      </c>
      <c r="AN160" s="27">
        <v>21</v>
      </c>
      <c r="AO160" s="27">
        <f>G160*1</f>
        <v>0</v>
      </c>
      <c r="AP160" s="27">
        <f>G160*(1-1)</f>
        <v>0</v>
      </c>
      <c r="AQ160" s="29" t="s">
        <v>117</v>
      </c>
      <c r="AV160" s="27">
        <f>ROUND(AW160+AX160,2)</f>
        <v>0</v>
      </c>
      <c r="AW160" s="27">
        <f>ROUND(F160*AO160,2)</f>
        <v>0</v>
      </c>
      <c r="AX160" s="27">
        <f>ROUND(F160*AP160,2)</f>
        <v>0</v>
      </c>
      <c r="AY160" s="29" t="s">
        <v>370</v>
      </c>
      <c r="AZ160" s="29" t="s">
        <v>371</v>
      </c>
      <c r="BA160" s="10" t="s">
        <v>65</v>
      </c>
      <c r="BC160" s="27">
        <f>AW160+AX160</f>
        <v>0</v>
      </c>
      <c r="BD160" s="27">
        <f>G160/(100-BE160)*100</f>
        <v>0</v>
      </c>
      <c r="BE160" s="27">
        <v>0</v>
      </c>
      <c r="BF160" s="27">
        <f>L160</f>
        <v>3.2946160000000004</v>
      </c>
      <c r="BH160" s="27">
        <f>F160*AO160</f>
        <v>0</v>
      </c>
      <c r="BI160" s="27">
        <f>F160*AP160</f>
        <v>0</v>
      </c>
      <c r="BJ160" s="27">
        <f>F160*G160</f>
        <v>0</v>
      </c>
      <c r="BK160" s="29" t="s">
        <v>289</v>
      </c>
      <c r="BL160" s="27">
        <v>762</v>
      </c>
      <c r="BW160" s="27">
        <v>21</v>
      </c>
      <c r="BX160" s="4" t="s">
        <v>376</v>
      </c>
    </row>
    <row r="161" spans="1:76" x14ac:dyDescent="0.25">
      <c r="A161" s="30"/>
      <c r="C161" s="31" t="s">
        <v>377</v>
      </c>
      <c r="D161" s="31" t="s">
        <v>373</v>
      </c>
      <c r="F161" s="32">
        <v>417.04</v>
      </c>
      <c r="M161" s="33"/>
    </row>
    <row r="162" spans="1:76" x14ac:dyDescent="0.25">
      <c r="A162" s="2" t="s">
        <v>378</v>
      </c>
      <c r="B162" s="3" t="s">
        <v>379</v>
      </c>
      <c r="C162" s="80" t="s">
        <v>380</v>
      </c>
      <c r="D162" s="73"/>
      <c r="E162" s="3" t="s">
        <v>61</v>
      </c>
      <c r="F162" s="27">
        <v>35</v>
      </c>
      <c r="G162" s="67">
        <v>0</v>
      </c>
      <c r="H162" s="27">
        <f>ROUND(F162*AO162,2)</f>
        <v>0</v>
      </c>
      <c r="I162" s="27">
        <f>ROUND(F162*AP162,2)</f>
        <v>0</v>
      </c>
      <c r="J162" s="27">
        <f>ROUND(F162*G162,2)</f>
        <v>0</v>
      </c>
      <c r="K162" s="27">
        <v>8.0000000000000007E-5</v>
      </c>
      <c r="L162" s="27">
        <f>F162*K162</f>
        <v>2.8000000000000004E-3</v>
      </c>
      <c r="M162" s="28" t="s">
        <v>62</v>
      </c>
      <c r="Z162" s="27">
        <f>ROUND(IF(AQ162="5",BJ162,0),2)</f>
        <v>0</v>
      </c>
      <c r="AB162" s="27">
        <f>ROUND(IF(AQ162="1",BH162,0),2)</f>
        <v>0</v>
      </c>
      <c r="AC162" s="27">
        <f>ROUND(IF(AQ162="1",BI162,0),2)</f>
        <v>0</v>
      </c>
      <c r="AD162" s="27">
        <f>ROUND(IF(AQ162="7",BH162,0),2)</f>
        <v>0</v>
      </c>
      <c r="AE162" s="27">
        <f>ROUND(IF(AQ162="7",BI162,0),2)</f>
        <v>0</v>
      </c>
      <c r="AF162" s="27">
        <f>ROUND(IF(AQ162="2",BH162,0),2)</f>
        <v>0</v>
      </c>
      <c r="AG162" s="27">
        <f>ROUND(IF(AQ162="2",BI162,0),2)</f>
        <v>0</v>
      </c>
      <c r="AH162" s="27">
        <f>ROUND(IF(AQ162="0",BJ162,0),2)</f>
        <v>0</v>
      </c>
      <c r="AI162" s="10" t="s">
        <v>55</v>
      </c>
      <c r="AJ162" s="27">
        <f>IF(AN162=0,J162,0)</f>
        <v>0</v>
      </c>
      <c r="AK162" s="27">
        <f>IF(AN162=12,J162,0)</f>
        <v>0</v>
      </c>
      <c r="AL162" s="27">
        <f>IF(AN162=21,J162,0)</f>
        <v>0</v>
      </c>
      <c r="AN162" s="27">
        <v>21</v>
      </c>
      <c r="AO162" s="27">
        <f>G162*0.082653563</f>
        <v>0</v>
      </c>
      <c r="AP162" s="27">
        <f>G162*(1-0.082653563)</f>
        <v>0</v>
      </c>
      <c r="AQ162" s="29" t="s">
        <v>117</v>
      </c>
      <c r="AV162" s="27">
        <f>ROUND(AW162+AX162,2)</f>
        <v>0</v>
      </c>
      <c r="AW162" s="27">
        <f>ROUND(F162*AO162,2)</f>
        <v>0</v>
      </c>
      <c r="AX162" s="27">
        <f>ROUND(F162*AP162,2)</f>
        <v>0</v>
      </c>
      <c r="AY162" s="29" t="s">
        <v>370</v>
      </c>
      <c r="AZ162" s="29" t="s">
        <v>371</v>
      </c>
      <c r="BA162" s="10" t="s">
        <v>65</v>
      </c>
      <c r="BC162" s="27">
        <f>AW162+AX162</f>
        <v>0</v>
      </c>
      <c r="BD162" s="27">
        <f>G162/(100-BE162)*100</f>
        <v>0</v>
      </c>
      <c r="BE162" s="27">
        <v>0</v>
      </c>
      <c r="BF162" s="27">
        <f>L162</f>
        <v>2.8000000000000004E-3</v>
      </c>
      <c r="BH162" s="27">
        <f>F162*AO162</f>
        <v>0</v>
      </c>
      <c r="BI162" s="27">
        <f>F162*AP162</f>
        <v>0</v>
      </c>
      <c r="BJ162" s="27">
        <f>F162*G162</f>
        <v>0</v>
      </c>
      <c r="BK162" s="29" t="s">
        <v>66</v>
      </c>
      <c r="BL162" s="27">
        <v>762</v>
      </c>
      <c r="BW162" s="27">
        <v>21</v>
      </c>
      <c r="BX162" s="4" t="s">
        <v>380</v>
      </c>
    </row>
    <row r="163" spans="1:76" x14ac:dyDescent="0.25">
      <c r="A163" s="30"/>
      <c r="C163" s="31" t="s">
        <v>381</v>
      </c>
      <c r="D163" s="31" t="s">
        <v>382</v>
      </c>
      <c r="F163" s="32">
        <v>35</v>
      </c>
      <c r="M163" s="33"/>
    </row>
    <row r="164" spans="1:76" x14ac:dyDescent="0.25">
      <c r="A164" s="2" t="s">
        <v>383</v>
      </c>
      <c r="B164" s="3" t="s">
        <v>384</v>
      </c>
      <c r="C164" s="80" t="s">
        <v>385</v>
      </c>
      <c r="D164" s="73"/>
      <c r="E164" s="3" t="s">
        <v>61</v>
      </c>
      <c r="F164" s="27">
        <v>37.799999999999997</v>
      </c>
      <c r="G164" s="67">
        <v>0</v>
      </c>
      <c r="H164" s="27">
        <f>ROUND(F164*AO164,2)</f>
        <v>0</v>
      </c>
      <c r="I164" s="27">
        <f>ROUND(F164*AP164,2)</f>
        <v>0</v>
      </c>
      <c r="J164" s="27">
        <f>ROUND(F164*G164,2)</f>
        <v>0</v>
      </c>
      <c r="K164" s="27">
        <v>1.4279999999999999E-2</v>
      </c>
      <c r="L164" s="27">
        <f>F164*K164</f>
        <v>0.53978399999999993</v>
      </c>
      <c r="M164" s="28" t="s">
        <v>62</v>
      </c>
      <c r="Z164" s="27">
        <f>ROUND(IF(AQ164="5",BJ164,0),2)</f>
        <v>0</v>
      </c>
      <c r="AB164" s="27">
        <f>ROUND(IF(AQ164="1",BH164,0),2)</f>
        <v>0</v>
      </c>
      <c r="AC164" s="27">
        <f>ROUND(IF(AQ164="1",BI164,0),2)</f>
        <v>0</v>
      </c>
      <c r="AD164" s="27">
        <f>ROUND(IF(AQ164="7",BH164,0),2)</f>
        <v>0</v>
      </c>
      <c r="AE164" s="27">
        <f>ROUND(IF(AQ164="7",BI164,0),2)</f>
        <v>0</v>
      </c>
      <c r="AF164" s="27">
        <f>ROUND(IF(AQ164="2",BH164,0),2)</f>
        <v>0</v>
      </c>
      <c r="AG164" s="27">
        <f>ROUND(IF(AQ164="2",BI164,0),2)</f>
        <v>0</v>
      </c>
      <c r="AH164" s="27">
        <f>ROUND(IF(AQ164="0",BJ164,0),2)</f>
        <v>0</v>
      </c>
      <c r="AI164" s="10" t="s">
        <v>55</v>
      </c>
      <c r="AJ164" s="27">
        <f>IF(AN164=0,J164,0)</f>
        <v>0</v>
      </c>
      <c r="AK164" s="27">
        <f>IF(AN164=12,J164,0)</f>
        <v>0</v>
      </c>
      <c r="AL164" s="27">
        <f>IF(AN164=21,J164,0)</f>
        <v>0</v>
      </c>
      <c r="AN164" s="27">
        <v>21</v>
      </c>
      <c r="AO164" s="27">
        <f>G164*1</f>
        <v>0</v>
      </c>
      <c r="AP164" s="27">
        <f>G164*(1-1)</f>
        <v>0</v>
      </c>
      <c r="AQ164" s="29" t="s">
        <v>117</v>
      </c>
      <c r="AV164" s="27">
        <f>ROUND(AW164+AX164,2)</f>
        <v>0</v>
      </c>
      <c r="AW164" s="27">
        <f>ROUND(F164*AO164,2)</f>
        <v>0</v>
      </c>
      <c r="AX164" s="27">
        <f>ROUND(F164*AP164,2)</f>
        <v>0</v>
      </c>
      <c r="AY164" s="29" t="s">
        <v>370</v>
      </c>
      <c r="AZ164" s="29" t="s">
        <v>371</v>
      </c>
      <c r="BA164" s="10" t="s">
        <v>65</v>
      </c>
      <c r="BC164" s="27">
        <f>AW164+AX164</f>
        <v>0</v>
      </c>
      <c r="BD164" s="27">
        <f>G164/(100-BE164)*100</f>
        <v>0</v>
      </c>
      <c r="BE164" s="27">
        <v>0</v>
      </c>
      <c r="BF164" s="27">
        <f>L164</f>
        <v>0.53978399999999993</v>
      </c>
      <c r="BH164" s="27">
        <f>F164*AO164</f>
        <v>0</v>
      </c>
      <c r="BI164" s="27">
        <f>F164*AP164</f>
        <v>0</v>
      </c>
      <c r="BJ164" s="27">
        <f>F164*G164</f>
        <v>0</v>
      </c>
      <c r="BK164" s="29" t="s">
        <v>289</v>
      </c>
      <c r="BL164" s="27">
        <v>762</v>
      </c>
      <c r="BW164" s="27">
        <v>21</v>
      </c>
      <c r="BX164" s="4" t="s">
        <v>385</v>
      </c>
    </row>
    <row r="165" spans="1:76" x14ac:dyDescent="0.25">
      <c r="A165" s="30"/>
      <c r="C165" s="31" t="s">
        <v>386</v>
      </c>
      <c r="D165" s="31" t="s">
        <v>382</v>
      </c>
      <c r="F165" s="32">
        <v>37.799999999999997</v>
      </c>
      <c r="M165" s="33"/>
    </row>
    <row r="166" spans="1:76" x14ac:dyDescent="0.25">
      <c r="A166" s="2" t="s">
        <v>387</v>
      </c>
      <c r="B166" s="3" t="s">
        <v>388</v>
      </c>
      <c r="C166" s="80" t="s">
        <v>389</v>
      </c>
      <c r="D166" s="73"/>
      <c r="E166" s="3" t="s">
        <v>120</v>
      </c>
      <c r="F166" s="27">
        <v>3.8370000000000002</v>
      </c>
      <c r="G166" s="67">
        <v>0</v>
      </c>
      <c r="H166" s="27">
        <f>ROUND(F166*AO166,2)</f>
        <v>0</v>
      </c>
      <c r="I166" s="27">
        <f>ROUND(F166*AP166,2)</f>
        <v>0</v>
      </c>
      <c r="J166" s="27">
        <f>ROUND(F166*G166,2)</f>
        <v>0</v>
      </c>
      <c r="K166" s="27">
        <v>0</v>
      </c>
      <c r="L166" s="27">
        <f>F166*K166</f>
        <v>0</v>
      </c>
      <c r="M166" s="28" t="s">
        <v>62</v>
      </c>
      <c r="Z166" s="27">
        <f>ROUND(IF(AQ166="5",BJ166,0),2)</f>
        <v>0</v>
      </c>
      <c r="AB166" s="27">
        <f>ROUND(IF(AQ166="1",BH166,0),2)</f>
        <v>0</v>
      </c>
      <c r="AC166" s="27">
        <f>ROUND(IF(AQ166="1",BI166,0),2)</f>
        <v>0</v>
      </c>
      <c r="AD166" s="27">
        <f>ROUND(IF(AQ166="7",BH166,0),2)</f>
        <v>0</v>
      </c>
      <c r="AE166" s="27">
        <f>ROUND(IF(AQ166="7",BI166,0),2)</f>
        <v>0</v>
      </c>
      <c r="AF166" s="27">
        <f>ROUND(IF(AQ166="2",BH166,0),2)</f>
        <v>0</v>
      </c>
      <c r="AG166" s="27">
        <f>ROUND(IF(AQ166="2",BI166,0),2)</f>
        <v>0</v>
      </c>
      <c r="AH166" s="27">
        <f>ROUND(IF(AQ166="0",BJ166,0),2)</f>
        <v>0</v>
      </c>
      <c r="AI166" s="10" t="s">
        <v>55</v>
      </c>
      <c r="AJ166" s="27">
        <f>IF(AN166=0,J166,0)</f>
        <v>0</v>
      </c>
      <c r="AK166" s="27">
        <f>IF(AN166=12,J166,0)</f>
        <v>0</v>
      </c>
      <c r="AL166" s="27">
        <f>IF(AN166=21,J166,0)</f>
        <v>0</v>
      </c>
      <c r="AN166" s="27">
        <v>21</v>
      </c>
      <c r="AO166" s="27">
        <f>G166*0</f>
        <v>0</v>
      </c>
      <c r="AP166" s="27">
        <f>G166*(1-0)</f>
        <v>0</v>
      </c>
      <c r="AQ166" s="29" t="s">
        <v>100</v>
      </c>
      <c r="AV166" s="27">
        <f>ROUND(AW166+AX166,2)</f>
        <v>0</v>
      </c>
      <c r="AW166" s="27">
        <f>ROUND(F166*AO166,2)</f>
        <v>0</v>
      </c>
      <c r="AX166" s="27">
        <f>ROUND(F166*AP166,2)</f>
        <v>0</v>
      </c>
      <c r="AY166" s="29" t="s">
        <v>370</v>
      </c>
      <c r="AZ166" s="29" t="s">
        <v>371</v>
      </c>
      <c r="BA166" s="10" t="s">
        <v>65</v>
      </c>
      <c r="BC166" s="27">
        <f>AW166+AX166</f>
        <v>0</v>
      </c>
      <c r="BD166" s="27">
        <f>G166/(100-BE166)*100</f>
        <v>0</v>
      </c>
      <c r="BE166" s="27">
        <v>0</v>
      </c>
      <c r="BF166" s="27">
        <f>L166</f>
        <v>0</v>
      </c>
      <c r="BH166" s="27">
        <f>F166*AO166</f>
        <v>0</v>
      </c>
      <c r="BI166" s="27">
        <f>F166*AP166</f>
        <v>0</v>
      </c>
      <c r="BJ166" s="27">
        <f>F166*G166</f>
        <v>0</v>
      </c>
      <c r="BK166" s="29" t="s">
        <v>66</v>
      </c>
      <c r="BL166" s="27">
        <v>762</v>
      </c>
      <c r="BW166" s="27">
        <v>21</v>
      </c>
      <c r="BX166" s="4" t="s">
        <v>389</v>
      </c>
    </row>
    <row r="167" spans="1:76" x14ac:dyDescent="0.25">
      <c r="A167" s="34" t="s">
        <v>55</v>
      </c>
      <c r="B167" s="35" t="s">
        <v>390</v>
      </c>
      <c r="C167" s="133" t="s">
        <v>391</v>
      </c>
      <c r="D167" s="134"/>
      <c r="E167" s="36" t="s">
        <v>4</v>
      </c>
      <c r="F167" s="36" t="s">
        <v>4</v>
      </c>
      <c r="G167" s="36" t="s">
        <v>4</v>
      </c>
      <c r="H167" s="1">
        <f>ROUND(SUM(H168:H193),2)</f>
        <v>0</v>
      </c>
      <c r="I167" s="1">
        <f>ROUND(SUM(I168:I193),2)</f>
        <v>0</v>
      </c>
      <c r="J167" s="1">
        <f>ROUND(SUM(J168:J193),2)</f>
        <v>0</v>
      </c>
      <c r="K167" s="10" t="s">
        <v>55</v>
      </c>
      <c r="L167" s="1">
        <f>SUM(L168:L193)</f>
        <v>3.2043659999999998</v>
      </c>
      <c r="M167" s="37" t="s">
        <v>55</v>
      </c>
      <c r="AI167" s="10" t="s">
        <v>55</v>
      </c>
      <c r="AS167" s="1">
        <f>SUM(AJ168:AJ193)</f>
        <v>0</v>
      </c>
      <c r="AT167" s="1">
        <f>SUM(AK168:AK193)</f>
        <v>0</v>
      </c>
      <c r="AU167" s="1">
        <f>SUM(AL168:AL193)</f>
        <v>0</v>
      </c>
    </row>
    <row r="168" spans="1:76" x14ac:dyDescent="0.25">
      <c r="A168" s="2" t="s">
        <v>392</v>
      </c>
      <c r="B168" s="3" t="s">
        <v>393</v>
      </c>
      <c r="C168" s="80" t="s">
        <v>394</v>
      </c>
      <c r="D168" s="73"/>
      <c r="E168" s="3" t="s">
        <v>140</v>
      </c>
      <c r="F168" s="27">
        <v>158.80000000000001</v>
      </c>
      <c r="G168" s="67">
        <v>0</v>
      </c>
      <c r="H168" s="27">
        <f>ROUND(F168*AO168,2)</f>
        <v>0</v>
      </c>
      <c r="I168" s="27">
        <f>ROUND(F168*AP168,2)</f>
        <v>0</v>
      </c>
      <c r="J168" s="27">
        <f>ROUND(F168*G168,2)</f>
        <v>0</v>
      </c>
      <c r="K168" s="27">
        <v>1.42E-3</v>
      </c>
      <c r="L168" s="27">
        <f>F168*K168</f>
        <v>0.22549600000000003</v>
      </c>
      <c r="M168" s="28" t="s">
        <v>62</v>
      </c>
      <c r="Z168" s="27">
        <f>ROUND(IF(AQ168="5",BJ168,0),2)</f>
        <v>0</v>
      </c>
      <c r="AB168" s="27">
        <f>ROUND(IF(AQ168="1",BH168,0),2)</f>
        <v>0</v>
      </c>
      <c r="AC168" s="27">
        <f>ROUND(IF(AQ168="1",BI168,0),2)</f>
        <v>0</v>
      </c>
      <c r="AD168" s="27">
        <f>ROUND(IF(AQ168="7",BH168,0),2)</f>
        <v>0</v>
      </c>
      <c r="AE168" s="27">
        <f>ROUND(IF(AQ168="7",BI168,0),2)</f>
        <v>0</v>
      </c>
      <c r="AF168" s="27">
        <f>ROUND(IF(AQ168="2",BH168,0),2)</f>
        <v>0</v>
      </c>
      <c r="AG168" s="27">
        <f>ROUND(IF(AQ168="2",BI168,0),2)</f>
        <v>0</v>
      </c>
      <c r="AH168" s="27">
        <f>ROUND(IF(AQ168="0",BJ168,0),2)</f>
        <v>0</v>
      </c>
      <c r="AI168" s="10" t="s">
        <v>55</v>
      </c>
      <c r="AJ168" s="27">
        <f>IF(AN168=0,J168,0)</f>
        <v>0</v>
      </c>
      <c r="AK168" s="27">
        <f>IF(AN168=12,J168,0)</f>
        <v>0</v>
      </c>
      <c r="AL168" s="27">
        <f>IF(AN168=21,J168,0)</f>
        <v>0</v>
      </c>
      <c r="AN168" s="27">
        <v>21</v>
      </c>
      <c r="AO168" s="27">
        <f>G168*0</f>
        <v>0</v>
      </c>
      <c r="AP168" s="27">
        <f>G168*(1-0)</f>
        <v>0</v>
      </c>
      <c r="AQ168" s="29" t="s">
        <v>117</v>
      </c>
      <c r="AV168" s="27">
        <f>ROUND(AW168+AX168,2)</f>
        <v>0</v>
      </c>
      <c r="AW168" s="27">
        <f>ROUND(F168*AO168,2)</f>
        <v>0</v>
      </c>
      <c r="AX168" s="27">
        <f>ROUND(F168*AP168,2)</f>
        <v>0</v>
      </c>
      <c r="AY168" s="29" t="s">
        <v>395</v>
      </c>
      <c r="AZ168" s="29" t="s">
        <v>371</v>
      </c>
      <c r="BA168" s="10" t="s">
        <v>65</v>
      </c>
      <c r="BC168" s="27">
        <f>AW168+AX168</f>
        <v>0</v>
      </c>
      <c r="BD168" s="27">
        <f>G168/(100-BE168)*100</f>
        <v>0</v>
      </c>
      <c r="BE168" s="27">
        <v>0</v>
      </c>
      <c r="BF168" s="27">
        <f>L168</f>
        <v>0.22549600000000003</v>
      </c>
      <c r="BH168" s="27">
        <f>F168*AO168</f>
        <v>0</v>
      </c>
      <c r="BI168" s="27">
        <f>F168*AP168</f>
        <v>0</v>
      </c>
      <c r="BJ168" s="27">
        <f>F168*G168</f>
        <v>0</v>
      </c>
      <c r="BK168" s="29" t="s">
        <v>66</v>
      </c>
      <c r="BL168" s="27">
        <v>764</v>
      </c>
      <c r="BW168" s="27">
        <v>21</v>
      </c>
      <c r="BX168" s="4" t="s">
        <v>394</v>
      </c>
    </row>
    <row r="169" spans="1:76" x14ac:dyDescent="0.25">
      <c r="A169" s="30"/>
      <c r="C169" s="31" t="s">
        <v>396</v>
      </c>
      <c r="D169" s="31" t="s">
        <v>397</v>
      </c>
      <c r="F169" s="32">
        <v>158.80000000000001</v>
      </c>
      <c r="M169" s="33"/>
    </row>
    <row r="170" spans="1:76" x14ac:dyDescent="0.25">
      <c r="A170" s="2" t="s">
        <v>398</v>
      </c>
      <c r="B170" s="3" t="s">
        <v>399</v>
      </c>
      <c r="C170" s="80" t="s">
        <v>400</v>
      </c>
      <c r="D170" s="73"/>
      <c r="E170" s="3" t="s">
        <v>140</v>
      </c>
      <c r="F170" s="27">
        <v>9</v>
      </c>
      <c r="G170" s="67">
        <v>0</v>
      </c>
      <c r="H170" s="27">
        <f>ROUND(F170*AO170,2)</f>
        <v>0</v>
      </c>
      <c r="I170" s="27">
        <f>ROUND(F170*AP170,2)</f>
        <v>0</v>
      </c>
      <c r="J170" s="27">
        <f>ROUND(F170*G170,2)</f>
        <v>0</v>
      </c>
      <c r="K170" s="27">
        <v>2.8500000000000001E-3</v>
      </c>
      <c r="L170" s="27">
        <f>F170*K170</f>
        <v>2.5649999999999999E-2</v>
      </c>
      <c r="M170" s="28" t="s">
        <v>62</v>
      </c>
      <c r="Z170" s="27">
        <f>ROUND(IF(AQ170="5",BJ170,0),2)</f>
        <v>0</v>
      </c>
      <c r="AB170" s="27">
        <f>ROUND(IF(AQ170="1",BH170,0),2)</f>
        <v>0</v>
      </c>
      <c r="AC170" s="27">
        <f>ROUND(IF(AQ170="1",BI170,0),2)</f>
        <v>0</v>
      </c>
      <c r="AD170" s="27">
        <f>ROUND(IF(AQ170="7",BH170,0),2)</f>
        <v>0</v>
      </c>
      <c r="AE170" s="27">
        <f>ROUND(IF(AQ170="7",BI170,0),2)</f>
        <v>0</v>
      </c>
      <c r="AF170" s="27">
        <f>ROUND(IF(AQ170="2",BH170,0),2)</f>
        <v>0</v>
      </c>
      <c r="AG170" s="27">
        <f>ROUND(IF(AQ170="2",BI170,0),2)</f>
        <v>0</v>
      </c>
      <c r="AH170" s="27">
        <f>ROUND(IF(AQ170="0",BJ170,0),2)</f>
        <v>0</v>
      </c>
      <c r="AI170" s="10" t="s">
        <v>55</v>
      </c>
      <c r="AJ170" s="27">
        <f>IF(AN170=0,J170,0)</f>
        <v>0</v>
      </c>
      <c r="AK170" s="27">
        <f>IF(AN170=12,J170,0)</f>
        <v>0</v>
      </c>
      <c r="AL170" s="27">
        <f>IF(AN170=21,J170,0)</f>
        <v>0</v>
      </c>
      <c r="AN170" s="27">
        <v>21</v>
      </c>
      <c r="AO170" s="27">
        <f>G170*0</f>
        <v>0</v>
      </c>
      <c r="AP170" s="27">
        <f>G170*(1-0)</f>
        <v>0</v>
      </c>
      <c r="AQ170" s="29" t="s">
        <v>117</v>
      </c>
      <c r="AV170" s="27">
        <f>ROUND(AW170+AX170,2)</f>
        <v>0</v>
      </c>
      <c r="AW170" s="27">
        <f>ROUND(F170*AO170,2)</f>
        <v>0</v>
      </c>
      <c r="AX170" s="27">
        <f>ROUND(F170*AP170,2)</f>
        <v>0</v>
      </c>
      <c r="AY170" s="29" t="s">
        <v>395</v>
      </c>
      <c r="AZ170" s="29" t="s">
        <v>371</v>
      </c>
      <c r="BA170" s="10" t="s">
        <v>65</v>
      </c>
      <c r="BC170" s="27">
        <f>AW170+AX170</f>
        <v>0</v>
      </c>
      <c r="BD170" s="27">
        <f>G170/(100-BE170)*100</f>
        <v>0</v>
      </c>
      <c r="BE170" s="27">
        <v>0</v>
      </c>
      <c r="BF170" s="27">
        <f>L170</f>
        <v>2.5649999999999999E-2</v>
      </c>
      <c r="BH170" s="27">
        <f>F170*AO170</f>
        <v>0</v>
      </c>
      <c r="BI170" s="27">
        <f>F170*AP170</f>
        <v>0</v>
      </c>
      <c r="BJ170" s="27">
        <f>F170*G170</f>
        <v>0</v>
      </c>
      <c r="BK170" s="29" t="s">
        <v>66</v>
      </c>
      <c r="BL170" s="27">
        <v>764</v>
      </c>
      <c r="BW170" s="27">
        <v>21</v>
      </c>
      <c r="BX170" s="4" t="s">
        <v>400</v>
      </c>
    </row>
    <row r="171" spans="1:76" x14ac:dyDescent="0.25">
      <c r="A171" s="30"/>
      <c r="C171" s="31" t="s">
        <v>401</v>
      </c>
      <c r="D171" s="31" t="s">
        <v>402</v>
      </c>
      <c r="F171" s="32">
        <v>9</v>
      </c>
      <c r="M171" s="33"/>
    </row>
    <row r="172" spans="1:76" x14ac:dyDescent="0.25">
      <c r="A172" s="2" t="s">
        <v>403</v>
      </c>
      <c r="B172" s="3" t="s">
        <v>404</v>
      </c>
      <c r="C172" s="80" t="s">
        <v>405</v>
      </c>
      <c r="D172" s="73"/>
      <c r="E172" s="3" t="s">
        <v>140</v>
      </c>
      <c r="F172" s="27">
        <v>87.1</v>
      </c>
      <c r="G172" s="67">
        <v>0</v>
      </c>
      <c r="H172" s="27">
        <f>ROUND(F172*AO172,2)</f>
        <v>0</v>
      </c>
      <c r="I172" s="27">
        <f>ROUND(F172*AP172,2)</f>
        <v>0</v>
      </c>
      <c r="J172" s="27">
        <f>ROUND(F172*G172,2)</f>
        <v>0</v>
      </c>
      <c r="K172" s="27">
        <v>4.64E-3</v>
      </c>
      <c r="L172" s="27">
        <f>F172*K172</f>
        <v>0.404144</v>
      </c>
      <c r="M172" s="28" t="s">
        <v>62</v>
      </c>
      <c r="Z172" s="27">
        <f>ROUND(IF(AQ172="5",BJ172,0),2)</f>
        <v>0</v>
      </c>
      <c r="AB172" s="27">
        <f>ROUND(IF(AQ172="1",BH172,0),2)</f>
        <v>0</v>
      </c>
      <c r="AC172" s="27">
        <f>ROUND(IF(AQ172="1",BI172,0),2)</f>
        <v>0</v>
      </c>
      <c r="AD172" s="27">
        <f>ROUND(IF(AQ172="7",BH172,0),2)</f>
        <v>0</v>
      </c>
      <c r="AE172" s="27">
        <f>ROUND(IF(AQ172="7",BI172,0),2)</f>
        <v>0</v>
      </c>
      <c r="AF172" s="27">
        <f>ROUND(IF(AQ172="2",BH172,0),2)</f>
        <v>0</v>
      </c>
      <c r="AG172" s="27">
        <f>ROUND(IF(AQ172="2",BI172,0),2)</f>
        <v>0</v>
      </c>
      <c r="AH172" s="27">
        <f>ROUND(IF(AQ172="0",BJ172,0),2)</f>
        <v>0</v>
      </c>
      <c r="AI172" s="10" t="s">
        <v>55</v>
      </c>
      <c r="AJ172" s="27">
        <f>IF(AN172=0,J172,0)</f>
        <v>0</v>
      </c>
      <c r="AK172" s="27">
        <f>IF(AN172=12,J172,0)</f>
        <v>0</v>
      </c>
      <c r="AL172" s="27">
        <f>IF(AN172=21,J172,0)</f>
        <v>0</v>
      </c>
      <c r="AN172" s="27">
        <v>21</v>
      </c>
      <c r="AO172" s="27">
        <f>G172*0</f>
        <v>0</v>
      </c>
      <c r="AP172" s="27">
        <f>G172*(1-0)</f>
        <v>0</v>
      </c>
      <c r="AQ172" s="29" t="s">
        <v>117</v>
      </c>
      <c r="AV172" s="27">
        <f>ROUND(AW172+AX172,2)</f>
        <v>0</v>
      </c>
      <c r="AW172" s="27">
        <f>ROUND(F172*AO172,2)</f>
        <v>0</v>
      </c>
      <c r="AX172" s="27">
        <f>ROUND(F172*AP172,2)</f>
        <v>0</v>
      </c>
      <c r="AY172" s="29" t="s">
        <v>395</v>
      </c>
      <c r="AZ172" s="29" t="s">
        <v>371</v>
      </c>
      <c r="BA172" s="10" t="s">
        <v>65</v>
      </c>
      <c r="BC172" s="27">
        <f>AW172+AX172</f>
        <v>0</v>
      </c>
      <c r="BD172" s="27">
        <f>G172/(100-BE172)*100</f>
        <v>0</v>
      </c>
      <c r="BE172" s="27">
        <v>0</v>
      </c>
      <c r="BF172" s="27">
        <f>L172</f>
        <v>0.404144</v>
      </c>
      <c r="BH172" s="27">
        <f>F172*AO172</f>
        <v>0</v>
      </c>
      <c r="BI172" s="27">
        <f>F172*AP172</f>
        <v>0</v>
      </c>
      <c r="BJ172" s="27">
        <f>F172*G172</f>
        <v>0</v>
      </c>
      <c r="BK172" s="29" t="s">
        <v>66</v>
      </c>
      <c r="BL172" s="27">
        <v>764</v>
      </c>
      <c r="BW172" s="27">
        <v>21</v>
      </c>
      <c r="BX172" s="4" t="s">
        <v>405</v>
      </c>
    </row>
    <row r="173" spans="1:76" ht="13.5" customHeight="1" x14ac:dyDescent="0.25">
      <c r="A173" s="30"/>
      <c r="C173" s="135" t="s">
        <v>406</v>
      </c>
      <c r="D173" s="136"/>
      <c r="E173" s="136"/>
      <c r="F173" s="136"/>
      <c r="G173" s="136"/>
      <c r="H173" s="136"/>
      <c r="I173" s="136"/>
      <c r="J173" s="136"/>
      <c r="K173" s="136"/>
      <c r="L173" s="136"/>
      <c r="M173" s="137"/>
    </row>
    <row r="174" spans="1:76" x14ac:dyDescent="0.25">
      <c r="A174" s="30"/>
      <c r="C174" s="31" t="s">
        <v>407</v>
      </c>
      <c r="D174" s="31" t="s">
        <v>408</v>
      </c>
      <c r="F174" s="32">
        <v>87.1</v>
      </c>
      <c r="M174" s="33"/>
    </row>
    <row r="175" spans="1:76" x14ac:dyDescent="0.25">
      <c r="A175" s="2" t="s">
        <v>409</v>
      </c>
      <c r="B175" s="3" t="s">
        <v>410</v>
      </c>
      <c r="C175" s="80" t="s">
        <v>411</v>
      </c>
      <c r="D175" s="73"/>
      <c r="E175" s="3" t="s">
        <v>61</v>
      </c>
      <c r="F175" s="27">
        <v>120.8</v>
      </c>
      <c r="G175" s="67">
        <v>0</v>
      </c>
      <c r="H175" s="27">
        <f>ROUND(F175*AO175,2)</f>
        <v>0</v>
      </c>
      <c r="I175" s="27">
        <f>ROUND(F175*AP175,2)</f>
        <v>0</v>
      </c>
      <c r="J175" s="27">
        <f>ROUND(F175*G175,2)</f>
        <v>0</v>
      </c>
      <c r="K175" s="27">
        <v>7.3200000000000001E-3</v>
      </c>
      <c r="L175" s="27">
        <f>F175*K175</f>
        <v>0.88425600000000004</v>
      </c>
      <c r="M175" s="28" t="s">
        <v>62</v>
      </c>
      <c r="Z175" s="27">
        <f>ROUND(IF(AQ175="5",BJ175,0),2)</f>
        <v>0</v>
      </c>
      <c r="AB175" s="27">
        <f>ROUND(IF(AQ175="1",BH175,0),2)</f>
        <v>0</v>
      </c>
      <c r="AC175" s="27">
        <f>ROUND(IF(AQ175="1",BI175,0),2)</f>
        <v>0</v>
      </c>
      <c r="AD175" s="27">
        <f>ROUND(IF(AQ175="7",BH175,0),2)</f>
        <v>0</v>
      </c>
      <c r="AE175" s="27">
        <f>ROUND(IF(AQ175="7",BI175,0),2)</f>
        <v>0</v>
      </c>
      <c r="AF175" s="27">
        <f>ROUND(IF(AQ175="2",BH175,0),2)</f>
        <v>0</v>
      </c>
      <c r="AG175" s="27">
        <f>ROUND(IF(AQ175="2",BI175,0),2)</f>
        <v>0</v>
      </c>
      <c r="AH175" s="27">
        <f>ROUND(IF(AQ175="0",BJ175,0),2)</f>
        <v>0</v>
      </c>
      <c r="AI175" s="10" t="s">
        <v>55</v>
      </c>
      <c r="AJ175" s="27">
        <f>IF(AN175=0,J175,0)</f>
        <v>0</v>
      </c>
      <c r="AK175" s="27">
        <f>IF(AN175=12,J175,0)</f>
        <v>0</v>
      </c>
      <c r="AL175" s="27">
        <f>IF(AN175=21,J175,0)</f>
        <v>0</v>
      </c>
      <c r="AN175" s="27">
        <v>21</v>
      </c>
      <c r="AO175" s="27">
        <f>G175*0</f>
        <v>0</v>
      </c>
      <c r="AP175" s="27">
        <f>G175*(1-0)</f>
        <v>0</v>
      </c>
      <c r="AQ175" s="29" t="s">
        <v>117</v>
      </c>
      <c r="AV175" s="27">
        <f>ROUND(AW175+AX175,2)</f>
        <v>0</v>
      </c>
      <c r="AW175" s="27">
        <f>ROUND(F175*AO175,2)</f>
        <v>0</v>
      </c>
      <c r="AX175" s="27">
        <f>ROUND(F175*AP175,2)</f>
        <v>0</v>
      </c>
      <c r="AY175" s="29" t="s">
        <v>395</v>
      </c>
      <c r="AZ175" s="29" t="s">
        <v>371</v>
      </c>
      <c r="BA175" s="10" t="s">
        <v>65</v>
      </c>
      <c r="BC175" s="27">
        <f>AW175+AX175</f>
        <v>0</v>
      </c>
      <c r="BD175" s="27">
        <f>G175/(100-BE175)*100</f>
        <v>0</v>
      </c>
      <c r="BE175" s="27">
        <v>0</v>
      </c>
      <c r="BF175" s="27">
        <f>L175</f>
        <v>0.88425600000000004</v>
      </c>
      <c r="BH175" s="27">
        <f>F175*AO175</f>
        <v>0</v>
      </c>
      <c r="BI175" s="27">
        <f>F175*AP175</f>
        <v>0</v>
      </c>
      <c r="BJ175" s="27">
        <f>F175*G175</f>
        <v>0</v>
      </c>
      <c r="BK175" s="29" t="s">
        <v>66</v>
      </c>
      <c r="BL175" s="27">
        <v>764</v>
      </c>
      <c r="BW175" s="27">
        <v>21</v>
      </c>
      <c r="BX175" s="4" t="s">
        <v>411</v>
      </c>
    </row>
    <row r="176" spans="1:76" x14ac:dyDescent="0.25">
      <c r="A176" s="30"/>
      <c r="C176" s="31" t="s">
        <v>412</v>
      </c>
      <c r="D176" s="31" t="s">
        <v>243</v>
      </c>
      <c r="F176" s="32">
        <v>120.8</v>
      </c>
      <c r="M176" s="33"/>
    </row>
    <row r="177" spans="1:76" x14ac:dyDescent="0.25">
      <c r="A177" s="2" t="s">
        <v>98</v>
      </c>
      <c r="B177" s="3" t="s">
        <v>413</v>
      </c>
      <c r="C177" s="80" t="s">
        <v>414</v>
      </c>
      <c r="D177" s="73"/>
      <c r="E177" s="3" t="s">
        <v>140</v>
      </c>
      <c r="F177" s="27">
        <v>89</v>
      </c>
      <c r="G177" s="67">
        <v>0</v>
      </c>
      <c r="H177" s="27">
        <f>ROUND(F177*AO177,2)</f>
        <v>0</v>
      </c>
      <c r="I177" s="27">
        <f>ROUND(F177*AP177,2)</f>
        <v>0</v>
      </c>
      <c r="J177" s="27">
        <f>ROUND(F177*G177,2)</f>
        <v>0</v>
      </c>
      <c r="K177" s="27">
        <v>3.4199999999999999E-3</v>
      </c>
      <c r="L177" s="27">
        <f>F177*K177</f>
        <v>0.30437999999999998</v>
      </c>
      <c r="M177" s="28" t="s">
        <v>62</v>
      </c>
      <c r="Z177" s="27">
        <f>ROUND(IF(AQ177="5",BJ177,0),2)</f>
        <v>0</v>
      </c>
      <c r="AB177" s="27">
        <f>ROUND(IF(AQ177="1",BH177,0),2)</f>
        <v>0</v>
      </c>
      <c r="AC177" s="27">
        <f>ROUND(IF(AQ177="1",BI177,0),2)</f>
        <v>0</v>
      </c>
      <c r="AD177" s="27">
        <f>ROUND(IF(AQ177="7",BH177,0),2)</f>
        <v>0</v>
      </c>
      <c r="AE177" s="27">
        <f>ROUND(IF(AQ177="7",BI177,0),2)</f>
        <v>0</v>
      </c>
      <c r="AF177" s="27">
        <f>ROUND(IF(AQ177="2",BH177,0),2)</f>
        <v>0</v>
      </c>
      <c r="AG177" s="27">
        <f>ROUND(IF(AQ177="2",BI177,0),2)</f>
        <v>0</v>
      </c>
      <c r="AH177" s="27">
        <f>ROUND(IF(AQ177="0",BJ177,0),2)</f>
        <v>0</v>
      </c>
      <c r="AI177" s="10" t="s">
        <v>55</v>
      </c>
      <c r="AJ177" s="27">
        <f>IF(AN177=0,J177,0)</f>
        <v>0</v>
      </c>
      <c r="AK177" s="27">
        <f>IF(AN177=12,J177,0)</f>
        <v>0</v>
      </c>
      <c r="AL177" s="27">
        <f>IF(AN177=21,J177,0)</f>
        <v>0</v>
      </c>
      <c r="AN177" s="27">
        <v>21</v>
      </c>
      <c r="AO177" s="27">
        <f>G177*0.175174927</f>
        <v>0</v>
      </c>
      <c r="AP177" s="27">
        <f>G177*(1-0.175174927)</f>
        <v>0</v>
      </c>
      <c r="AQ177" s="29" t="s">
        <v>117</v>
      </c>
      <c r="AV177" s="27">
        <f>ROUND(AW177+AX177,2)</f>
        <v>0</v>
      </c>
      <c r="AW177" s="27">
        <f>ROUND(F177*AO177,2)</f>
        <v>0</v>
      </c>
      <c r="AX177" s="27">
        <f>ROUND(F177*AP177,2)</f>
        <v>0</v>
      </c>
      <c r="AY177" s="29" t="s">
        <v>395</v>
      </c>
      <c r="AZ177" s="29" t="s">
        <v>371</v>
      </c>
      <c r="BA177" s="10" t="s">
        <v>65</v>
      </c>
      <c r="BC177" s="27">
        <f>AW177+AX177</f>
        <v>0</v>
      </c>
      <c r="BD177" s="27">
        <f>G177/(100-BE177)*100</f>
        <v>0</v>
      </c>
      <c r="BE177" s="27">
        <v>0</v>
      </c>
      <c r="BF177" s="27">
        <f>L177</f>
        <v>0.30437999999999998</v>
      </c>
      <c r="BH177" s="27">
        <f>F177*AO177</f>
        <v>0</v>
      </c>
      <c r="BI177" s="27">
        <f>F177*AP177</f>
        <v>0</v>
      </c>
      <c r="BJ177" s="27">
        <f>F177*G177</f>
        <v>0</v>
      </c>
      <c r="BK177" s="29" t="s">
        <v>66</v>
      </c>
      <c r="BL177" s="27">
        <v>764</v>
      </c>
      <c r="BW177" s="27">
        <v>21</v>
      </c>
      <c r="BX177" s="4" t="s">
        <v>414</v>
      </c>
    </row>
    <row r="178" spans="1:76" x14ac:dyDescent="0.25">
      <c r="A178" s="30"/>
      <c r="C178" s="31" t="s">
        <v>415</v>
      </c>
      <c r="D178" s="31" t="s">
        <v>416</v>
      </c>
      <c r="F178" s="32">
        <v>89</v>
      </c>
      <c r="M178" s="33"/>
    </row>
    <row r="179" spans="1:76" x14ac:dyDescent="0.25">
      <c r="A179" s="2" t="s">
        <v>417</v>
      </c>
      <c r="B179" s="3" t="s">
        <v>418</v>
      </c>
      <c r="C179" s="80" t="s">
        <v>419</v>
      </c>
      <c r="D179" s="73"/>
      <c r="E179" s="3" t="s">
        <v>140</v>
      </c>
      <c r="F179" s="27">
        <v>89</v>
      </c>
      <c r="G179" s="67">
        <v>0</v>
      </c>
      <c r="H179" s="27">
        <f>ROUND(F179*AO179,2)</f>
        <v>0</v>
      </c>
      <c r="I179" s="27">
        <f>ROUND(F179*AP179,2)</f>
        <v>0</v>
      </c>
      <c r="J179" s="27">
        <f>ROUND(F179*G179,2)</f>
        <v>0</v>
      </c>
      <c r="K179" s="27">
        <v>2.96E-3</v>
      </c>
      <c r="L179" s="27">
        <f>F179*K179</f>
        <v>0.26344000000000001</v>
      </c>
      <c r="M179" s="28" t="s">
        <v>62</v>
      </c>
      <c r="Z179" s="27">
        <f>ROUND(IF(AQ179="5",BJ179,0),2)</f>
        <v>0</v>
      </c>
      <c r="AB179" s="27">
        <f>ROUND(IF(AQ179="1",BH179,0),2)</f>
        <v>0</v>
      </c>
      <c r="AC179" s="27">
        <f>ROUND(IF(AQ179="1",BI179,0),2)</f>
        <v>0</v>
      </c>
      <c r="AD179" s="27">
        <f>ROUND(IF(AQ179="7",BH179,0),2)</f>
        <v>0</v>
      </c>
      <c r="AE179" s="27">
        <f>ROUND(IF(AQ179="7",BI179,0),2)</f>
        <v>0</v>
      </c>
      <c r="AF179" s="27">
        <f>ROUND(IF(AQ179="2",BH179,0),2)</f>
        <v>0</v>
      </c>
      <c r="AG179" s="27">
        <f>ROUND(IF(AQ179="2",BI179,0),2)</f>
        <v>0</v>
      </c>
      <c r="AH179" s="27">
        <f>ROUND(IF(AQ179="0",BJ179,0),2)</f>
        <v>0</v>
      </c>
      <c r="AI179" s="10" t="s">
        <v>55</v>
      </c>
      <c r="AJ179" s="27">
        <f>IF(AN179=0,J179,0)</f>
        <v>0</v>
      </c>
      <c r="AK179" s="27">
        <f>IF(AN179=12,J179,0)</f>
        <v>0</v>
      </c>
      <c r="AL179" s="27">
        <f>IF(AN179=21,J179,0)</f>
        <v>0</v>
      </c>
      <c r="AN179" s="27">
        <v>21</v>
      </c>
      <c r="AO179" s="27">
        <f>G179*0.167768014</f>
        <v>0</v>
      </c>
      <c r="AP179" s="27">
        <f>G179*(1-0.167768014)</f>
        <v>0</v>
      </c>
      <c r="AQ179" s="29" t="s">
        <v>117</v>
      </c>
      <c r="AV179" s="27">
        <f>ROUND(AW179+AX179,2)</f>
        <v>0</v>
      </c>
      <c r="AW179" s="27">
        <f>ROUND(F179*AO179,2)</f>
        <v>0</v>
      </c>
      <c r="AX179" s="27">
        <f>ROUND(F179*AP179,2)</f>
        <v>0</v>
      </c>
      <c r="AY179" s="29" t="s">
        <v>395</v>
      </c>
      <c r="AZ179" s="29" t="s">
        <v>371</v>
      </c>
      <c r="BA179" s="10" t="s">
        <v>65</v>
      </c>
      <c r="BC179" s="27">
        <f>AW179+AX179</f>
        <v>0</v>
      </c>
      <c r="BD179" s="27">
        <f>G179/(100-BE179)*100</f>
        <v>0</v>
      </c>
      <c r="BE179" s="27">
        <v>0</v>
      </c>
      <c r="BF179" s="27">
        <f>L179</f>
        <v>0.26344000000000001</v>
      </c>
      <c r="BH179" s="27">
        <f>F179*AO179</f>
        <v>0</v>
      </c>
      <c r="BI179" s="27">
        <f>F179*AP179</f>
        <v>0</v>
      </c>
      <c r="BJ179" s="27">
        <f>F179*G179</f>
        <v>0</v>
      </c>
      <c r="BK179" s="29" t="s">
        <v>66</v>
      </c>
      <c r="BL179" s="27">
        <v>764</v>
      </c>
      <c r="BW179" s="27">
        <v>21</v>
      </c>
      <c r="BX179" s="4" t="s">
        <v>419</v>
      </c>
    </row>
    <row r="180" spans="1:76" x14ac:dyDescent="0.25">
      <c r="A180" s="30"/>
      <c r="C180" s="31" t="s">
        <v>415</v>
      </c>
      <c r="D180" s="31" t="s">
        <v>420</v>
      </c>
      <c r="F180" s="32">
        <v>89</v>
      </c>
      <c r="M180" s="33"/>
    </row>
    <row r="181" spans="1:76" x14ac:dyDescent="0.25">
      <c r="A181" s="2" t="s">
        <v>108</v>
      </c>
      <c r="B181" s="3" t="s">
        <v>421</v>
      </c>
      <c r="C181" s="80" t="s">
        <v>422</v>
      </c>
      <c r="D181" s="73"/>
      <c r="E181" s="3" t="s">
        <v>140</v>
      </c>
      <c r="F181" s="27">
        <v>11</v>
      </c>
      <c r="G181" s="67">
        <v>0</v>
      </c>
      <c r="H181" s="27">
        <f>ROUND(F181*AO181,2)</f>
        <v>0</v>
      </c>
      <c r="I181" s="27">
        <f>ROUND(F181*AP181,2)</f>
        <v>0</v>
      </c>
      <c r="J181" s="27">
        <f>ROUND(F181*G181,2)</f>
        <v>0</v>
      </c>
      <c r="K181" s="27">
        <v>2.97E-3</v>
      </c>
      <c r="L181" s="27">
        <f>F181*K181</f>
        <v>3.2669999999999998E-2</v>
      </c>
      <c r="M181" s="28" t="s">
        <v>62</v>
      </c>
      <c r="Z181" s="27">
        <f>ROUND(IF(AQ181="5",BJ181,0),2)</f>
        <v>0</v>
      </c>
      <c r="AB181" s="27">
        <f>ROUND(IF(AQ181="1",BH181,0),2)</f>
        <v>0</v>
      </c>
      <c r="AC181" s="27">
        <f>ROUND(IF(AQ181="1",BI181,0),2)</f>
        <v>0</v>
      </c>
      <c r="AD181" s="27">
        <f>ROUND(IF(AQ181="7",BH181,0),2)</f>
        <v>0</v>
      </c>
      <c r="AE181" s="27">
        <f>ROUND(IF(AQ181="7",BI181,0),2)</f>
        <v>0</v>
      </c>
      <c r="AF181" s="27">
        <f>ROUND(IF(AQ181="2",BH181,0),2)</f>
        <v>0</v>
      </c>
      <c r="AG181" s="27">
        <f>ROUND(IF(AQ181="2",BI181,0),2)</f>
        <v>0</v>
      </c>
      <c r="AH181" s="27">
        <f>ROUND(IF(AQ181="0",BJ181,0),2)</f>
        <v>0</v>
      </c>
      <c r="AI181" s="10" t="s">
        <v>55</v>
      </c>
      <c r="AJ181" s="27">
        <f>IF(AN181=0,J181,0)</f>
        <v>0</v>
      </c>
      <c r="AK181" s="27">
        <f>IF(AN181=12,J181,0)</f>
        <v>0</v>
      </c>
      <c r="AL181" s="27">
        <f>IF(AN181=21,J181,0)</f>
        <v>0</v>
      </c>
      <c r="AN181" s="27">
        <v>21</v>
      </c>
      <c r="AO181" s="27">
        <f>G181*0.193007519</f>
        <v>0</v>
      </c>
      <c r="AP181" s="27">
        <f>G181*(1-0.193007519)</f>
        <v>0</v>
      </c>
      <c r="AQ181" s="29" t="s">
        <v>117</v>
      </c>
      <c r="AV181" s="27">
        <f>ROUND(AW181+AX181,2)</f>
        <v>0</v>
      </c>
      <c r="AW181" s="27">
        <f>ROUND(F181*AO181,2)</f>
        <v>0</v>
      </c>
      <c r="AX181" s="27">
        <f>ROUND(F181*AP181,2)</f>
        <v>0</v>
      </c>
      <c r="AY181" s="29" t="s">
        <v>395</v>
      </c>
      <c r="AZ181" s="29" t="s">
        <v>371</v>
      </c>
      <c r="BA181" s="10" t="s">
        <v>65</v>
      </c>
      <c r="BC181" s="27">
        <f>AW181+AX181</f>
        <v>0</v>
      </c>
      <c r="BD181" s="27">
        <f>G181/(100-BE181)*100</f>
        <v>0</v>
      </c>
      <c r="BE181" s="27">
        <v>0</v>
      </c>
      <c r="BF181" s="27">
        <f>L181</f>
        <v>3.2669999999999998E-2</v>
      </c>
      <c r="BH181" s="27">
        <f>F181*AO181</f>
        <v>0</v>
      </c>
      <c r="BI181" s="27">
        <f>F181*AP181</f>
        <v>0</v>
      </c>
      <c r="BJ181" s="27">
        <f>F181*G181</f>
        <v>0</v>
      </c>
      <c r="BK181" s="29" t="s">
        <v>66</v>
      </c>
      <c r="BL181" s="27">
        <v>764</v>
      </c>
      <c r="BW181" s="27">
        <v>21</v>
      </c>
      <c r="BX181" s="4" t="s">
        <v>422</v>
      </c>
    </row>
    <row r="182" spans="1:76" x14ac:dyDescent="0.25">
      <c r="A182" s="30"/>
      <c r="C182" s="31" t="s">
        <v>423</v>
      </c>
      <c r="D182" s="31" t="s">
        <v>424</v>
      </c>
      <c r="F182" s="32">
        <v>11</v>
      </c>
      <c r="M182" s="33"/>
    </row>
    <row r="183" spans="1:76" x14ac:dyDescent="0.25">
      <c r="A183" s="2" t="s">
        <v>425</v>
      </c>
      <c r="B183" s="3" t="s">
        <v>426</v>
      </c>
      <c r="C183" s="80" t="s">
        <v>427</v>
      </c>
      <c r="D183" s="73"/>
      <c r="E183" s="3" t="s">
        <v>140</v>
      </c>
      <c r="F183" s="27">
        <v>178</v>
      </c>
      <c r="G183" s="67">
        <v>0</v>
      </c>
      <c r="H183" s="27">
        <f>ROUND(F183*AO183,2)</f>
        <v>0</v>
      </c>
      <c r="I183" s="27">
        <f>ROUND(F183*AP183,2)</f>
        <v>0</v>
      </c>
      <c r="J183" s="27">
        <f>ROUND(F183*G183,2)</f>
        <v>0</v>
      </c>
      <c r="K183" s="27">
        <v>4.1599999999999996E-3</v>
      </c>
      <c r="L183" s="27">
        <f>F183*K183</f>
        <v>0.74047999999999992</v>
      </c>
      <c r="M183" s="28" t="s">
        <v>62</v>
      </c>
      <c r="Z183" s="27">
        <f>ROUND(IF(AQ183="5",BJ183,0),2)</f>
        <v>0</v>
      </c>
      <c r="AB183" s="27">
        <f>ROUND(IF(AQ183="1",BH183,0),2)</f>
        <v>0</v>
      </c>
      <c r="AC183" s="27">
        <f>ROUND(IF(AQ183="1",BI183,0),2)</f>
        <v>0</v>
      </c>
      <c r="AD183" s="27">
        <f>ROUND(IF(AQ183="7",BH183,0),2)</f>
        <v>0</v>
      </c>
      <c r="AE183" s="27">
        <f>ROUND(IF(AQ183="7",BI183,0),2)</f>
        <v>0</v>
      </c>
      <c r="AF183" s="27">
        <f>ROUND(IF(AQ183="2",BH183,0),2)</f>
        <v>0</v>
      </c>
      <c r="AG183" s="27">
        <f>ROUND(IF(AQ183="2",BI183,0),2)</f>
        <v>0</v>
      </c>
      <c r="AH183" s="27">
        <f>ROUND(IF(AQ183="0",BJ183,0),2)</f>
        <v>0</v>
      </c>
      <c r="AI183" s="10" t="s">
        <v>55</v>
      </c>
      <c r="AJ183" s="27">
        <f>IF(AN183=0,J183,0)</f>
        <v>0</v>
      </c>
      <c r="AK183" s="27">
        <f>IF(AN183=12,J183,0)</f>
        <v>0</v>
      </c>
      <c r="AL183" s="27">
        <f>IF(AN183=21,J183,0)</f>
        <v>0</v>
      </c>
      <c r="AN183" s="27">
        <v>21</v>
      </c>
      <c r="AO183" s="27">
        <f>G183*0.250532959</f>
        <v>0</v>
      </c>
      <c r="AP183" s="27">
        <f>G183*(1-0.250532959)</f>
        <v>0</v>
      </c>
      <c r="AQ183" s="29" t="s">
        <v>117</v>
      </c>
      <c r="AV183" s="27">
        <f>ROUND(AW183+AX183,2)</f>
        <v>0</v>
      </c>
      <c r="AW183" s="27">
        <f>ROUND(F183*AO183,2)</f>
        <v>0</v>
      </c>
      <c r="AX183" s="27">
        <f>ROUND(F183*AP183,2)</f>
        <v>0</v>
      </c>
      <c r="AY183" s="29" t="s">
        <v>395</v>
      </c>
      <c r="AZ183" s="29" t="s">
        <v>371</v>
      </c>
      <c r="BA183" s="10" t="s">
        <v>65</v>
      </c>
      <c r="BC183" s="27">
        <f>AW183+AX183</f>
        <v>0</v>
      </c>
      <c r="BD183" s="27">
        <f>G183/(100-BE183)*100</f>
        <v>0</v>
      </c>
      <c r="BE183" s="27">
        <v>0</v>
      </c>
      <c r="BF183" s="27">
        <f>L183</f>
        <v>0.74047999999999992</v>
      </c>
      <c r="BH183" s="27">
        <f>F183*AO183</f>
        <v>0</v>
      </c>
      <c r="BI183" s="27">
        <f>F183*AP183</f>
        <v>0</v>
      </c>
      <c r="BJ183" s="27">
        <f>F183*G183</f>
        <v>0</v>
      </c>
      <c r="BK183" s="29" t="s">
        <v>66</v>
      </c>
      <c r="BL183" s="27">
        <v>764</v>
      </c>
      <c r="BW183" s="27">
        <v>21</v>
      </c>
      <c r="BX183" s="4" t="s">
        <v>427</v>
      </c>
    </row>
    <row r="184" spans="1:76" x14ac:dyDescent="0.25">
      <c r="A184" s="30"/>
      <c r="C184" s="31" t="s">
        <v>428</v>
      </c>
      <c r="D184" s="31" t="s">
        <v>429</v>
      </c>
      <c r="F184" s="32">
        <v>162</v>
      </c>
      <c r="M184" s="33"/>
    </row>
    <row r="185" spans="1:76" x14ac:dyDescent="0.25">
      <c r="A185" s="30"/>
      <c r="C185" s="31" t="s">
        <v>430</v>
      </c>
      <c r="D185" s="31" t="s">
        <v>431</v>
      </c>
      <c r="F185" s="32">
        <v>16</v>
      </c>
      <c r="M185" s="33"/>
    </row>
    <row r="186" spans="1:76" x14ac:dyDescent="0.25">
      <c r="A186" s="2" t="s">
        <v>432</v>
      </c>
      <c r="B186" s="3" t="s">
        <v>433</v>
      </c>
      <c r="C186" s="80" t="s">
        <v>434</v>
      </c>
      <c r="D186" s="73"/>
      <c r="E186" s="3" t="s">
        <v>140</v>
      </c>
      <c r="F186" s="27">
        <v>93</v>
      </c>
      <c r="G186" s="67">
        <v>0</v>
      </c>
      <c r="H186" s="27">
        <f>ROUND(F186*AO186,2)</f>
        <v>0</v>
      </c>
      <c r="I186" s="27">
        <f>ROUND(F186*AP186,2)</f>
        <v>0</v>
      </c>
      <c r="J186" s="27">
        <f>ROUND(F186*G186,2)</f>
        <v>0</v>
      </c>
      <c r="K186" s="27">
        <v>3.0799999999999998E-3</v>
      </c>
      <c r="L186" s="27">
        <f>F186*K186</f>
        <v>0.28643999999999997</v>
      </c>
      <c r="M186" s="28" t="s">
        <v>62</v>
      </c>
      <c r="Z186" s="27">
        <f>ROUND(IF(AQ186="5",BJ186,0),2)</f>
        <v>0</v>
      </c>
      <c r="AB186" s="27">
        <f>ROUND(IF(AQ186="1",BH186,0),2)</f>
        <v>0</v>
      </c>
      <c r="AC186" s="27">
        <f>ROUND(IF(AQ186="1",BI186,0),2)</f>
        <v>0</v>
      </c>
      <c r="AD186" s="27">
        <f>ROUND(IF(AQ186="7",BH186,0),2)</f>
        <v>0</v>
      </c>
      <c r="AE186" s="27">
        <f>ROUND(IF(AQ186="7",BI186,0),2)</f>
        <v>0</v>
      </c>
      <c r="AF186" s="27">
        <f>ROUND(IF(AQ186="2",BH186,0),2)</f>
        <v>0</v>
      </c>
      <c r="AG186" s="27">
        <f>ROUND(IF(AQ186="2",BI186,0),2)</f>
        <v>0</v>
      </c>
      <c r="AH186" s="27">
        <f>ROUND(IF(AQ186="0",BJ186,0),2)</f>
        <v>0</v>
      </c>
      <c r="AI186" s="10" t="s">
        <v>55</v>
      </c>
      <c r="AJ186" s="27">
        <f>IF(AN186=0,J186,0)</f>
        <v>0</v>
      </c>
      <c r="AK186" s="27">
        <f>IF(AN186=12,J186,0)</f>
        <v>0</v>
      </c>
      <c r="AL186" s="27">
        <f>IF(AN186=21,J186,0)</f>
        <v>0</v>
      </c>
      <c r="AN186" s="27">
        <v>21</v>
      </c>
      <c r="AO186" s="27">
        <f>G186*0.255616667</f>
        <v>0</v>
      </c>
      <c r="AP186" s="27">
        <f>G186*(1-0.255616667)</f>
        <v>0</v>
      </c>
      <c r="AQ186" s="29" t="s">
        <v>117</v>
      </c>
      <c r="AV186" s="27">
        <f>ROUND(AW186+AX186,2)</f>
        <v>0</v>
      </c>
      <c r="AW186" s="27">
        <f>ROUND(F186*AO186,2)</f>
        <v>0</v>
      </c>
      <c r="AX186" s="27">
        <f>ROUND(F186*AP186,2)</f>
        <v>0</v>
      </c>
      <c r="AY186" s="29" t="s">
        <v>395</v>
      </c>
      <c r="AZ186" s="29" t="s">
        <v>371</v>
      </c>
      <c r="BA186" s="10" t="s">
        <v>65</v>
      </c>
      <c r="BC186" s="27">
        <f>AW186+AX186</f>
        <v>0</v>
      </c>
      <c r="BD186" s="27">
        <f>G186/(100-BE186)*100</f>
        <v>0</v>
      </c>
      <c r="BE186" s="27">
        <v>0</v>
      </c>
      <c r="BF186" s="27">
        <f>L186</f>
        <v>0.28643999999999997</v>
      </c>
      <c r="BH186" s="27">
        <f>F186*AO186</f>
        <v>0</v>
      </c>
      <c r="BI186" s="27">
        <f>F186*AP186</f>
        <v>0</v>
      </c>
      <c r="BJ186" s="27">
        <f>F186*G186</f>
        <v>0</v>
      </c>
      <c r="BK186" s="29" t="s">
        <v>66</v>
      </c>
      <c r="BL186" s="27">
        <v>764</v>
      </c>
      <c r="BW186" s="27">
        <v>21</v>
      </c>
      <c r="BX186" s="4" t="s">
        <v>434</v>
      </c>
    </row>
    <row r="187" spans="1:76" x14ac:dyDescent="0.25">
      <c r="A187" s="30"/>
      <c r="C187" s="31" t="s">
        <v>435</v>
      </c>
      <c r="D187" s="31" t="s">
        <v>436</v>
      </c>
      <c r="F187" s="32">
        <v>93</v>
      </c>
      <c r="M187" s="33"/>
    </row>
    <row r="188" spans="1:76" x14ac:dyDescent="0.25">
      <c r="A188" s="2" t="s">
        <v>437</v>
      </c>
      <c r="B188" s="3" t="s">
        <v>438</v>
      </c>
      <c r="C188" s="80" t="s">
        <v>439</v>
      </c>
      <c r="D188" s="73"/>
      <c r="E188" s="3" t="s">
        <v>140</v>
      </c>
      <c r="F188" s="27">
        <v>9</v>
      </c>
      <c r="G188" s="67">
        <v>0</v>
      </c>
      <c r="H188" s="27">
        <f>ROUND(F188*AO188,2)</f>
        <v>0</v>
      </c>
      <c r="I188" s="27">
        <f>ROUND(F188*AP188,2)</f>
        <v>0</v>
      </c>
      <c r="J188" s="27">
        <f>ROUND(F188*G188,2)</f>
        <v>0</v>
      </c>
      <c r="K188" s="27">
        <v>3.79E-3</v>
      </c>
      <c r="L188" s="27">
        <f>F188*K188</f>
        <v>3.4110000000000001E-2</v>
      </c>
      <c r="M188" s="28" t="s">
        <v>62</v>
      </c>
      <c r="Z188" s="27">
        <f>ROUND(IF(AQ188="5",BJ188,0),2)</f>
        <v>0</v>
      </c>
      <c r="AB188" s="27">
        <f>ROUND(IF(AQ188="1",BH188,0),2)</f>
        <v>0</v>
      </c>
      <c r="AC188" s="27">
        <f>ROUND(IF(AQ188="1",BI188,0),2)</f>
        <v>0</v>
      </c>
      <c r="AD188" s="27">
        <f>ROUND(IF(AQ188="7",BH188,0),2)</f>
        <v>0</v>
      </c>
      <c r="AE188" s="27">
        <f>ROUND(IF(AQ188="7",BI188,0),2)</f>
        <v>0</v>
      </c>
      <c r="AF188" s="27">
        <f>ROUND(IF(AQ188="2",BH188,0),2)</f>
        <v>0</v>
      </c>
      <c r="AG188" s="27">
        <f>ROUND(IF(AQ188="2",BI188,0),2)</f>
        <v>0</v>
      </c>
      <c r="AH188" s="27">
        <f>ROUND(IF(AQ188="0",BJ188,0),2)</f>
        <v>0</v>
      </c>
      <c r="AI188" s="10" t="s">
        <v>55</v>
      </c>
      <c r="AJ188" s="27">
        <f>IF(AN188=0,J188,0)</f>
        <v>0</v>
      </c>
      <c r="AK188" s="27">
        <f>IF(AN188=12,J188,0)</f>
        <v>0</v>
      </c>
      <c r="AL188" s="27">
        <f>IF(AN188=21,J188,0)</f>
        <v>0</v>
      </c>
      <c r="AN188" s="27">
        <v>21</v>
      </c>
      <c r="AO188" s="27">
        <f>G188*0.322719273</f>
        <v>0</v>
      </c>
      <c r="AP188" s="27">
        <f>G188*(1-0.322719273)</f>
        <v>0</v>
      </c>
      <c r="AQ188" s="29" t="s">
        <v>117</v>
      </c>
      <c r="AV188" s="27">
        <f>ROUND(AW188+AX188,2)</f>
        <v>0</v>
      </c>
      <c r="AW188" s="27">
        <f>ROUND(F188*AO188,2)</f>
        <v>0</v>
      </c>
      <c r="AX188" s="27">
        <f>ROUND(F188*AP188,2)</f>
        <v>0</v>
      </c>
      <c r="AY188" s="29" t="s">
        <v>395</v>
      </c>
      <c r="AZ188" s="29" t="s">
        <v>371</v>
      </c>
      <c r="BA188" s="10" t="s">
        <v>65</v>
      </c>
      <c r="BC188" s="27">
        <f>AW188+AX188</f>
        <v>0</v>
      </c>
      <c r="BD188" s="27">
        <f>G188/(100-BE188)*100</f>
        <v>0</v>
      </c>
      <c r="BE188" s="27">
        <v>0</v>
      </c>
      <c r="BF188" s="27">
        <f>L188</f>
        <v>3.4110000000000001E-2</v>
      </c>
      <c r="BH188" s="27">
        <f>F188*AO188</f>
        <v>0</v>
      </c>
      <c r="BI188" s="27">
        <f>F188*AP188</f>
        <v>0</v>
      </c>
      <c r="BJ188" s="27">
        <f>F188*G188</f>
        <v>0</v>
      </c>
      <c r="BK188" s="29" t="s">
        <v>66</v>
      </c>
      <c r="BL188" s="27">
        <v>764</v>
      </c>
      <c r="BW188" s="27">
        <v>21</v>
      </c>
      <c r="BX188" s="4" t="s">
        <v>439</v>
      </c>
    </row>
    <row r="189" spans="1:76" x14ac:dyDescent="0.25">
      <c r="A189" s="30"/>
      <c r="C189" s="31" t="s">
        <v>440</v>
      </c>
      <c r="D189" s="31" t="s">
        <v>441</v>
      </c>
      <c r="F189" s="32">
        <v>7</v>
      </c>
      <c r="M189" s="33"/>
    </row>
    <row r="190" spans="1:76" x14ac:dyDescent="0.25">
      <c r="A190" s="30"/>
      <c r="C190" s="31" t="s">
        <v>442</v>
      </c>
      <c r="D190" s="31" t="s">
        <v>443</v>
      </c>
      <c r="F190" s="32">
        <v>2</v>
      </c>
      <c r="M190" s="33"/>
    </row>
    <row r="191" spans="1:76" x14ac:dyDescent="0.25">
      <c r="A191" s="2" t="s">
        <v>444</v>
      </c>
      <c r="B191" s="3" t="s">
        <v>445</v>
      </c>
      <c r="C191" s="80" t="s">
        <v>446</v>
      </c>
      <c r="D191" s="73"/>
      <c r="E191" s="3" t="s">
        <v>103</v>
      </c>
      <c r="F191" s="27">
        <v>2</v>
      </c>
      <c r="G191" s="67">
        <v>0</v>
      </c>
      <c r="H191" s="27">
        <f>ROUND(F191*AO191,2)</f>
        <v>0</v>
      </c>
      <c r="I191" s="27">
        <f>ROUND(F191*AP191,2)</f>
        <v>0</v>
      </c>
      <c r="J191" s="27">
        <f>ROUND(F191*G191,2)</f>
        <v>0</v>
      </c>
      <c r="K191" s="27">
        <v>1.65E-3</v>
      </c>
      <c r="L191" s="27">
        <f>F191*K191</f>
        <v>3.3E-3</v>
      </c>
      <c r="M191" s="28" t="s">
        <v>62</v>
      </c>
      <c r="Z191" s="27">
        <f>ROUND(IF(AQ191="5",BJ191,0),2)</f>
        <v>0</v>
      </c>
      <c r="AB191" s="27">
        <f>ROUND(IF(AQ191="1",BH191,0),2)</f>
        <v>0</v>
      </c>
      <c r="AC191" s="27">
        <f>ROUND(IF(AQ191="1",BI191,0),2)</f>
        <v>0</v>
      </c>
      <c r="AD191" s="27">
        <f>ROUND(IF(AQ191="7",BH191,0),2)</f>
        <v>0</v>
      </c>
      <c r="AE191" s="27">
        <f>ROUND(IF(AQ191="7",BI191,0),2)</f>
        <v>0</v>
      </c>
      <c r="AF191" s="27">
        <f>ROUND(IF(AQ191="2",BH191,0),2)</f>
        <v>0</v>
      </c>
      <c r="AG191" s="27">
        <f>ROUND(IF(AQ191="2",BI191,0),2)</f>
        <v>0</v>
      </c>
      <c r="AH191" s="27">
        <f>ROUND(IF(AQ191="0",BJ191,0),2)</f>
        <v>0</v>
      </c>
      <c r="AI191" s="10" t="s">
        <v>55</v>
      </c>
      <c r="AJ191" s="27">
        <f>IF(AN191=0,J191,0)</f>
        <v>0</v>
      </c>
      <c r="AK191" s="27">
        <f>IF(AN191=12,J191,0)</f>
        <v>0</v>
      </c>
      <c r="AL191" s="27">
        <f>IF(AN191=21,J191,0)</f>
        <v>0</v>
      </c>
      <c r="AN191" s="27">
        <v>21</v>
      </c>
      <c r="AO191" s="27">
        <f>G191*0.097258389</f>
        <v>0</v>
      </c>
      <c r="AP191" s="27">
        <f>G191*(1-0.097258389)</f>
        <v>0</v>
      </c>
      <c r="AQ191" s="29" t="s">
        <v>117</v>
      </c>
      <c r="AV191" s="27">
        <f>ROUND(AW191+AX191,2)</f>
        <v>0</v>
      </c>
      <c r="AW191" s="27">
        <f>ROUND(F191*AO191,2)</f>
        <v>0</v>
      </c>
      <c r="AX191" s="27">
        <f>ROUND(F191*AP191,2)</f>
        <v>0</v>
      </c>
      <c r="AY191" s="29" t="s">
        <v>395</v>
      </c>
      <c r="AZ191" s="29" t="s">
        <v>371</v>
      </c>
      <c r="BA191" s="10" t="s">
        <v>65</v>
      </c>
      <c r="BC191" s="27">
        <f>AW191+AX191</f>
        <v>0</v>
      </c>
      <c r="BD191" s="27">
        <f>G191/(100-BE191)*100</f>
        <v>0</v>
      </c>
      <c r="BE191" s="27">
        <v>0</v>
      </c>
      <c r="BF191" s="27">
        <f>L191</f>
        <v>3.3E-3</v>
      </c>
      <c r="BH191" s="27">
        <f>F191*AO191</f>
        <v>0</v>
      </c>
      <c r="BI191" s="27">
        <f>F191*AP191</f>
        <v>0</v>
      </c>
      <c r="BJ191" s="27">
        <f>F191*G191</f>
        <v>0</v>
      </c>
      <c r="BK191" s="29" t="s">
        <v>66</v>
      </c>
      <c r="BL191" s="27">
        <v>764</v>
      </c>
      <c r="BW191" s="27">
        <v>21</v>
      </c>
      <c r="BX191" s="4" t="s">
        <v>446</v>
      </c>
    </row>
    <row r="192" spans="1:76" x14ac:dyDescent="0.25">
      <c r="A192" s="30"/>
      <c r="C192" s="31" t="s">
        <v>72</v>
      </c>
      <c r="D192" s="31" t="s">
        <v>447</v>
      </c>
      <c r="F192" s="32">
        <v>2</v>
      </c>
      <c r="M192" s="33"/>
    </row>
    <row r="193" spans="1:76" x14ac:dyDescent="0.25">
      <c r="A193" s="2" t="s">
        <v>448</v>
      </c>
      <c r="B193" s="3" t="s">
        <v>449</v>
      </c>
      <c r="C193" s="80" t="s">
        <v>450</v>
      </c>
      <c r="D193" s="73"/>
      <c r="E193" s="3" t="s">
        <v>120</v>
      </c>
      <c r="F193" s="27">
        <v>1.665</v>
      </c>
      <c r="G193" s="67">
        <v>0</v>
      </c>
      <c r="H193" s="27">
        <f>ROUND(F193*AO193,2)</f>
        <v>0</v>
      </c>
      <c r="I193" s="27">
        <f>ROUND(F193*AP193,2)</f>
        <v>0</v>
      </c>
      <c r="J193" s="27">
        <f>ROUND(F193*G193,2)</f>
        <v>0</v>
      </c>
      <c r="K193" s="27">
        <v>0</v>
      </c>
      <c r="L193" s="27">
        <f>F193*K193</f>
        <v>0</v>
      </c>
      <c r="M193" s="28" t="s">
        <v>62</v>
      </c>
      <c r="Z193" s="27">
        <f>ROUND(IF(AQ193="5",BJ193,0),2)</f>
        <v>0</v>
      </c>
      <c r="AB193" s="27">
        <f>ROUND(IF(AQ193="1",BH193,0),2)</f>
        <v>0</v>
      </c>
      <c r="AC193" s="27">
        <f>ROUND(IF(AQ193="1",BI193,0),2)</f>
        <v>0</v>
      </c>
      <c r="AD193" s="27">
        <f>ROUND(IF(AQ193="7",BH193,0),2)</f>
        <v>0</v>
      </c>
      <c r="AE193" s="27">
        <f>ROUND(IF(AQ193="7",BI193,0),2)</f>
        <v>0</v>
      </c>
      <c r="AF193" s="27">
        <f>ROUND(IF(AQ193="2",BH193,0),2)</f>
        <v>0</v>
      </c>
      <c r="AG193" s="27">
        <f>ROUND(IF(AQ193="2",BI193,0),2)</f>
        <v>0</v>
      </c>
      <c r="AH193" s="27">
        <f>ROUND(IF(AQ193="0",BJ193,0),2)</f>
        <v>0</v>
      </c>
      <c r="AI193" s="10" t="s">
        <v>55</v>
      </c>
      <c r="AJ193" s="27">
        <f>IF(AN193=0,J193,0)</f>
        <v>0</v>
      </c>
      <c r="AK193" s="27">
        <f>IF(AN193=12,J193,0)</f>
        <v>0</v>
      </c>
      <c r="AL193" s="27">
        <f>IF(AN193=21,J193,0)</f>
        <v>0</v>
      </c>
      <c r="AN193" s="27">
        <v>21</v>
      </c>
      <c r="AO193" s="27">
        <f>G193*0</f>
        <v>0</v>
      </c>
      <c r="AP193" s="27">
        <f>G193*(1-0)</f>
        <v>0</v>
      </c>
      <c r="AQ193" s="29" t="s">
        <v>100</v>
      </c>
      <c r="AV193" s="27">
        <f>ROUND(AW193+AX193,2)</f>
        <v>0</v>
      </c>
      <c r="AW193" s="27">
        <f>ROUND(F193*AO193,2)</f>
        <v>0</v>
      </c>
      <c r="AX193" s="27">
        <f>ROUND(F193*AP193,2)</f>
        <v>0</v>
      </c>
      <c r="AY193" s="29" t="s">
        <v>395</v>
      </c>
      <c r="AZ193" s="29" t="s">
        <v>371</v>
      </c>
      <c r="BA193" s="10" t="s">
        <v>65</v>
      </c>
      <c r="BC193" s="27">
        <f>AW193+AX193</f>
        <v>0</v>
      </c>
      <c r="BD193" s="27">
        <f>G193/(100-BE193)*100</f>
        <v>0</v>
      </c>
      <c r="BE193" s="27">
        <v>0</v>
      </c>
      <c r="BF193" s="27">
        <f>L193</f>
        <v>0</v>
      </c>
      <c r="BH193" s="27">
        <f>F193*AO193</f>
        <v>0</v>
      </c>
      <c r="BI193" s="27">
        <f>F193*AP193</f>
        <v>0</v>
      </c>
      <c r="BJ193" s="27">
        <f>F193*G193</f>
        <v>0</v>
      </c>
      <c r="BK193" s="29" t="s">
        <v>66</v>
      </c>
      <c r="BL193" s="27">
        <v>764</v>
      </c>
      <c r="BW193" s="27">
        <v>21</v>
      </c>
      <c r="BX193" s="4" t="s">
        <v>450</v>
      </c>
    </row>
    <row r="194" spans="1:76" x14ac:dyDescent="0.25">
      <c r="A194" s="34" t="s">
        <v>55</v>
      </c>
      <c r="B194" s="35" t="s">
        <v>451</v>
      </c>
      <c r="C194" s="133" t="s">
        <v>452</v>
      </c>
      <c r="D194" s="134"/>
      <c r="E194" s="36" t="s">
        <v>4</v>
      </c>
      <c r="F194" s="36" t="s">
        <v>4</v>
      </c>
      <c r="G194" s="36" t="s">
        <v>4</v>
      </c>
      <c r="H194" s="1">
        <f>ROUND(SUM(H195:H200),2)</f>
        <v>0</v>
      </c>
      <c r="I194" s="1">
        <f>ROUND(SUM(I195:I200),2)</f>
        <v>0</v>
      </c>
      <c r="J194" s="1">
        <f>ROUND(SUM(J195:J200),2)</f>
        <v>0</v>
      </c>
      <c r="K194" s="10" t="s">
        <v>55</v>
      </c>
      <c r="L194" s="1">
        <f>SUM(L195:L200)</f>
        <v>8.0798000000000005</v>
      </c>
      <c r="M194" s="37" t="s">
        <v>55</v>
      </c>
      <c r="AI194" s="10" t="s">
        <v>55</v>
      </c>
      <c r="AS194" s="1">
        <f>SUM(AJ195:AJ200)</f>
        <v>0</v>
      </c>
      <c r="AT194" s="1">
        <f>SUM(AK195:AK200)</f>
        <v>0</v>
      </c>
      <c r="AU194" s="1">
        <f>SUM(AL195:AL200)</f>
        <v>0</v>
      </c>
    </row>
    <row r="195" spans="1:76" x14ac:dyDescent="0.25">
      <c r="A195" s="2" t="s">
        <v>453</v>
      </c>
      <c r="B195" s="3" t="s">
        <v>454</v>
      </c>
      <c r="C195" s="80" t="s">
        <v>455</v>
      </c>
      <c r="D195" s="73"/>
      <c r="E195" s="3" t="s">
        <v>61</v>
      </c>
      <c r="F195" s="27">
        <v>253.8</v>
      </c>
      <c r="G195" s="67">
        <v>0</v>
      </c>
      <c r="H195" s="27">
        <f>ROUND(F195*AO195,2)</f>
        <v>0</v>
      </c>
      <c r="I195" s="27">
        <f>ROUND(F195*AP195,2)</f>
        <v>0</v>
      </c>
      <c r="J195" s="27">
        <f>ROUND(F195*G195,2)</f>
        <v>0</v>
      </c>
      <c r="K195" s="27">
        <v>2.1000000000000001E-2</v>
      </c>
      <c r="L195" s="27">
        <f>F195*K195</f>
        <v>5.3298000000000005</v>
      </c>
      <c r="M195" s="28" t="s">
        <v>62</v>
      </c>
      <c r="Z195" s="27">
        <f>ROUND(IF(AQ195="5",BJ195,0),2)</f>
        <v>0</v>
      </c>
      <c r="AB195" s="27">
        <f>ROUND(IF(AQ195="1",BH195,0),2)</f>
        <v>0</v>
      </c>
      <c r="AC195" s="27">
        <f>ROUND(IF(AQ195="1",BI195,0),2)</f>
        <v>0</v>
      </c>
      <c r="AD195" s="27">
        <f>ROUND(IF(AQ195="7",BH195,0),2)</f>
        <v>0</v>
      </c>
      <c r="AE195" s="27">
        <f>ROUND(IF(AQ195="7",BI195,0),2)</f>
        <v>0</v>
      </c>
      <c r="AF195" s="27">
        <f>ROUND(IF(AQ195="2",BH195,0),2)</f>
        <v>0</v>
      </c>
      <c r="AG195" s="27">
        <f>ROUND(IF(AQ195="2",BI195,0),2)</f>
        <v>0</v>
      </c>
      <c r="AH195" s="27">
        <f>ROUND(IF(AQ195="0",BJ195,0),2)</f>
        <v>0</v>
      </c>
      <c r="AI195" s="10" t="s">
        <v>55</v>
      </c>
      <c r="AJ195" s="27">
        <f>IF(AN195=0,J195,0)</f>
        <v>0</v>
      </c>
      <c r="AK195" s="27">
        <f>IF(AN195=12,J195,0)</f>
        <v>0</v>
      </c>
      <c r="AL195" s="27">
        <f>IF(AN195=21,J195,0)</f>
        <v>0</v>
      </c>
      <c r="AN195" s="27">
        <v>21</v>
      </c>
      <c r="AO195" s="27">
        <f>G195*0</f>
        <v>0</v>
      </c>
      <c r="AP195" s="27">
        <f>G195*(1-0)</f>
        <v>0</v>
      </c>
      <c r="AQ195" s="29" t="s">
        <v>117</v>
      </c>
      <c r="AV195" s="27">
        <f>ROUND(AW195+AX195,2)</f>
        <v>0</v>
      </c>
      <c r="AW195" s="27">
        <f>ROUND(F195*AO195,2)</f>
        <v>0</v>
      </c>
      <c r="AX195" s="27">
        <f>ROUND(F195*AP195,2)</f>
        <v>0</v>
      </c>
      <c r="AY195" s="29" t="s">
        <v>456</v>
      </c>
      <c r="AZ195" s="29" t="s">
        <v>371</v>
      </c>
      <c r="BA195" s="10" t="s">
        <v>65</v>
      </c>
      <c r="BC195" s="27">
        <f>AW195+AX195</f>
        <v>0</v>
      </c>
      <c r="BD195" s="27">
        <f>G195/(100-BE195)*100</f>
        <v>0</v>
      </c>
      <c r="BE195" s="27">
        <v>0</v>
      </c>
      <c r="BF195" s="27">
        <f>L195</f>
        <v>5.3298000000000005</v>
      </c>
      <c r="BH195" s="27">
        <f>F195*AO195</f>
        <v>0</v>
      </c>
      <c r="BI195" s="27">
        <f>F195*AP195</f>
        <v>0</v>
      </c>
      <c r="BJ195" s="27">
        <f>F195*G195</f>
        <v>0</v>
      </c>
      <c r="BK195" s="29" t="s">
        <v>66</v>
      </c>
      <c r="BL195" s="27">
        <v>767</v>
      </c>
      <c r="BW195" s="27">
        <v>21</v>
      </c>
      <c r="BX195" s="4" t="s">
        <v>455</v>
      </c>
    </row>
    <row r="196" spans="1:76" x14ac:dyDescent="0.25">
      <c r="A196" s="30"/>
      <c r="C196" s="31" t="s">
        <v>457</v>
      </c>
      <c r="D196" s="31" t="s">
        <v>458</v>
      </c>
      <c r="F196" s="32">
        <v>253.8</v>
      </c>
      <c r="M196" s="33"/>
    </row>
    <row r="197" spans="1:76" x14ac:dyDescent="0.25">
      <c r="A197" s="2" t="s">
        <v>459</v>
      </c>
      <c r="B197" s="3" t="s">
        <v>460</v>
      </c>
      <c r="C197" s="80" t="s">
        <v>461</v>
      </c>
      <c r="D197" s="73"/>
      <c r="E197" s="3" t="s">
        <v>103</v>
      </c>
      <c r="F197" s="27">
        <v>1</v>
      </c>
      <c r="G197" s="67">
        <v>0</v>
      </c>
      <c r="H197" s="27">
        <f>ROUND(F197*AO197,2)</f>
        <v>0</v>
      </c>
      <c r="I197" s="27">
        <f>ROUND(F197*AP197,2)</f>
        <v>0</v>
      </c>
      <c r="J197" s="27">
        <f>ROUND(F197*G197,2)</f>
        <v>0</v>
      </c>
      <c r="K197" s="27">
        <v>1.35</v>
      </c>
      <c r="L197" s="27">
        <f>F197*K197</f>
        <v>1.35</v>
      </c>
      <c r="M197" s="28" t="s">
        <v>354</v>
      </c>
      <c r="Z197" s="27">
        <f>ROUND(IF(AQ197="5",BJ197,0),2)</f>
        <v>0</v>
      </c>
      <c r="AB197" s="27">
        <f>ROUND(IF(AQ197="1",BH197,0),2)</f>
        <v>0</v>
      </c>
      <c r="AC197" s="27">
        <f>ROUND(IF(AQ197="1",BI197,0),2)</f>
        <v>0</v>
      </c>
      <c r="AD197" s="27">
        <f>ROUND(IF(AQ197="7",BH197,0),2)</f>
        <v>0</v>
      </c>
      <c r="AE197" s="27">
        <f>ROUND(IF(AQ197="7",BI197,0),2)</f>
        <v>0</v>
      </c>
      <c r="AF197" s="27">
        <f>ROUND(IF(AQ197="2",BH197,0),2)</f>
        <v>0</v>
      </c>
      <c r="AG197" s="27">
        <f>ROUND(IF(AQ197="2",BI197,0),2)</f>
        <v>0</v>
      </c>
      <c r="AH197" s="27">
        <f>ROUND(IF(AQ197="0",BJ197,0),2)</f>
        <v>0</v>
      </c>
      <c r="AI197" s="10" t="s">
        <v>55</v>
      </c>
      <c r="AJ197" s="27">
        <f>IF(AN197=0,J197,0)</f>
        <v>0</v>
      </c>
      <c r="AK197" s="27">
        <f>IF(AN197=12,J197,0)</f>
        <v>0</v>
      </c>
      <c r="AL197" s="27">
        <f>IF(AN197=21,J197,0)</f>
        <v>0</v>
      </c>
      <c r="AN197" s="27">
        <v>21</v>
      </c>
      <c r="AO197" s="27">
        <f>G197*1</f>
        <v>0</v>
      </c>
      <c r="AP197" s="27">
        <f>G197*(1-1)</f>
        <v>0</v>
      </c>
      <c r="AQ197" s="29" t="s">
        <v>117</v>
      </c>
      <c r="AV197" s="27">
        <f>ROUND(AW197+AX197,2)</f>
        <v>0</v>
      </c>
      <c r="AW197" s="27">
        <f>ROUND(F197*AO197,2)</f>
        <v>0</v>
      </c>
      <c r="AX197" s="27">
        <f>ROUND(F197*AP197,2)</f>
        <v>0</v>
      </c>
      <c r="AY197" s="29" t="s">
        <v>456</v>
      </c>
      <c r="AZ197" s="29" t="s">
        <v>371</v>
      </c>
      <c r="BA197" s="10" t="s">
        <v>65</v>
      </c>
      <c r="BC197" s="27">
        <f>AW197+AX197</f>
        <v>0</v>
      </c>
      <c r="BD197" s="27">
        <f>G197/(100-BE197)*100</f>
        <v>0</v>
      </c>
      <c r="BE197" s="27">
        <v>0</v>
      </c>
      <c r="BF197" s="27">
        <f>L197</f>
        <v>1.35</v>
      </c>
      <c r="BH197" s="27">
        <f>F197*AO197</f>
        <v>0</v>
      </c>
      <c r="BI197" s="27">
        <f>F197*AP197</f>
        <v>0</v>
      </c>
      <c r="BJ197" s="27">
        <f>F197*G197</f>
        <v>0</v>
      </c>
      <c r="BK197" s="29" t="s">
        <v>66</v>
      </c>
      <c r="BL197" s="27">
        <v>767</v>
      </c>
      <c r="BW197" s="27">
        <v>21</v>
      </c>
      <c r="BX197" s="4" t="s">
        <v>461</v>
      </c>
    </row>
    <row r="198" spans="1:76" ht="13.5" customHeight="1" x14ac:dyDescent="0.25">
      <c r="A198" s="30"/>
      <c r="C198" s="135" t="s">
        <v>462</v>
      </c>
      <c r="D198" s="136"/>
      <c r="E198" s="136"/>
      <c r="F198" s="136"/>
      <c r="G198" s="136"/>
      <c r="H198" s="136"/>
      <c r="I198" s="136"/>
      <c r="J198" s="136"/>
      <c r="K198" s="136"/>
      <c r="L198" s="136"/>
      <c r="M198" s="137"/>
    </row>
    <row r="199" spans="1:76" x14ac:dyDescent="0.25">
      <c r="A199" s="30"/>
      <c r="C199" s="31" t="s">
        <v>58</v>
      </c>
      <c r="D199" s="31" t="s">
        <v>463</v>
      </c>
      <c r="F199" s="32">
        <v>1</v>
      </c>
      <c r="M199" s="33"/>
    </row>
    <row r="200" spans="1:76" x14ac:dyDescent="0.25">
      <c r="A200" s="2" t="s">
        <v>464</v>
      </c>
      <c r="B200" s="3" t="s">
        <v>465</v>
      </c>
      <c r="C200" s="80" t="s">
        <v>461</v>
      </c>
      <c r="D200" s="73"/>
      <c r="E200" s="3" t="s">
        <v>103</v>
      </c>
      <c r="F200" s="27">
        <v>1</v>
      </c>
      <c r="G200" s="67">
        <v>0</v>
      </c>
      <c r="H200" s="27">
        <f>ROUND(F200*AO200,2)</f>
        <v>0</v>
      </c>
      <c r="I200" s="27">
        <f>ROUND(F200*AP200,2)</f>
        <v>0</v>
      </c>
      <c r="J200" s="27">
        <f>ROUND(F200*G200,2)</f>
        <v>0</v>
      </c>
      <c r="K200" s="27">
        <v>1.4</v>
      </c>
      <c r="L200" s="27">
        <f>F200*K200</f>
        <v>1.4</v>
      </c>
      <c r="M200" s="28" t="s">
        <v>354</v>
      </c>
      <c r="Z200" s="27">
        <f>ROUND(IF(AQ200="5",BJ200,0),2)</f>
        <v>0</v>
      </c>
      <c r="AB200" s="27">
        <f>ROUND(IF(AQ200="1",BH200,0),2)</f>
        <v>0</v>
      </c>
      <c r="AC200" s="27">
        <f>ROUND(IF(AQ200="1",BI200,0),2)</f>
        <v>0</v>
      </c>
      <c r="AD200" s="27">
        <f>ROUND(IF(AQ200="7",BH200,0),2)</f>
        <v>0</v>
      </c>
      <c r="AE200" s="27">
        <f>ROUND(IF(AQ200="7",BI200,0),2)</f>
        <v>0</v>
      </c>
      <c r="AF200" s="27">
        <f>ROUND(IF(AQ200="2",BH200,0),2)</f>
        <v>0</v>
      </c>
      <c r="AG200" s="27">
        <f>ROUND(IF(AQ200="2",BI200,0),2)</f>
        <v>0</v>
      </c>
      <c r="AH200" s="27">
        <f>ROUND(IF(AQ200="0",BJ200,0),2)</f>
        <v>0</v>
      </c>
      <c r="AI200" s="10" t="s">
        <v>55</v>
      </c>
      <c r="AJ200" s="27">
        <f>IF(AN200=0,J200,0)</f>
        <v>0</v>
      </c>
      <c r="AK200" s="27">
        <f>IF(AN200=12,J200,0)</f>
        <v>0</v>
      </c>
      <c r="AL200" s="27">
        <f>IF(AN200=21,J200,0)</f>
        <v>0</v>
      </c>
      <c r="AN200" s="27">
        <v>21</v>
      </c>
      <c r="AO200" s="27">
        <f>G200*1</f>
        <v>0</v>
      </c>
      <c r="AP200" s="27">
        <f>G200*(1-1)</f>
        <v>0</v>
      </c>
      <c r="AQ200" s="29" t="s">
        <v>117</v>
      </c>
      <c r="AV200" s="27">
        <f>ROUND(AW200+AX200,2)</f>
        <v>0</v>
      </c>
      <c r="AW200" s="27">
        <f>ROUND(F200*AO200,2)</f>
        <v>0</v>
      </c>
      <c r="AX200" s="27">
        <f>ROUND(F200*AP200,2)</f>
        <v>0</v>
      </c>
      <c r="AY200" s="29" t="s">
        <v>456</v>
      </c>
      <c r="AZ200" s="29" t="s">
        <v>371</v>
      </c>
      <c r="BA200" s="10" t="s">
        <v>65</v>
      </c>
      <c r="BC200" s="27">
        <f>AW200+AX200</f>
        <v>0</v>
      </c>
      <c r="BD200" s="27">
        <f>G200/(100-BE200)*100</f>
        <v>0</v>
      </c>
      <c r="BE200" s="27">
        <v>0</v>
      </c>
      <c r="BF200" s="27">
        <f>L200</f>
        <v>1.4</v>
      </c>
      <c r="BH200" s="27">
        <f>F200*AO200</f>
        <v>0</v>
      </c>
      <c r="BI200" s="27">
        <f>F200*AP200</f>
        <v>0</v>
      </c>
      <c r="BJ200" s="27">
        <f>F200*G200</f>
        <v>0</v>
      </c>
      <c r="BK200" s="29" t="s">
        <v>66</v>
      </c>
      <c r="BL200" s="27">
        <v>767</v>
      </c>
      <c r="BW200" s="27">
        <v>21</v>
      </c>
      <c r="BX200" s="4" t="s">
        <v>461</v>
      </c>
    </row>
    <row r="201" spans="1:76" ht="13.5" customHeight="1" x14ac:dyDescent="0.25">
      <c r="A201" s="30"/>
      <c r="C201" s="135" t="s">
        <v>462</v>
      </c>
      <c r="D201" s="136"/>
      <c r="E201" s="136"/>
      <c r="F201" s="136"/>
      <c r="G201" s="136"/>
      <c r="H201" s="136"/>
      <c r="I201" s="136"/>
      <c r="J201" s="136"/>
      <c r="K201" s="136"/>
      <c r="L201" s="136"/>
      <c r="M201" s="137"/>
    </row>
    <row r="202" spans="1:76" x14ac:dyDescent="0.25">
      <c r="A202" s="30"/>
      <c r="C202" s="31" t="s">
        <v>58</v>
      </c>
      <c r="D202" s="31" t="s">
        <v>466</v>
      </c>
      <c r="F202" s="32">
        <v>1</v>
      </c>
      <c r="M202" s="33"/>
    </row>
    <row r="203" spans="1:76" x14ac:dyDescent="0.25">
      <c r="A203" s="34" t="s">
        <v>55</v>
      </c>
      <c r="B203" s="35" t="s">
        <v>467</v>
      </c>
      <c r="C203" s="133" t="s">
        <v>468</v>
      </c>
      <c r="D203" s="134"/>
      <c r="E203" s="36" t="s">
        <v>4</v>
      </c>
      <c r="F203" s="36" t="s">
        <v>4</v>
      </c>
      <c r="G203" s="36" t="s">
        <v>4</v>
      </c>
      <c r="H203" s="1">
        <f>ROUND(SUM(H204:H206),2)</f>
        <v>0</v>
      </c>
      <c r="I203" s="1">
        <f>ROUND(SUM(I204:I206),2)</f>
        <v>0</v>
      </c>
      <c r="J203" s="1">
        <f>ROUND(SUM(J204:J206),2)</f>
        <v>0</v>
      </c>
      <c r="K203" s="10" t="s">
        <v>55</v>
      </c>
      <c r="L203" s="1">
        <f>SUM(L204:L206)</f>
        <v>1.9E-2</v>
      </c>
      <c r="M203" s="37" t="s">
        <v>55</v>
      </c>
      <c r="AI203" s="10" t="s">
        <v>55</v>
      </c>
      <c r="AS203" s="1">
        <f>SUM(AJ204:AJ206)</f>
        <v>0</v>
      </c>
      <c r="AT203" s="1">
        <f>SUM(AK204:AK206)</f>
        <v>0</v>
      </c>
      <c r="AU203" s="1">
        <f>SUM(AL204:AL206)</f>
        <v>0</v>
      </c>
    </row>
    <row r="204" spans="1:76" x14ac:dyDescent="0.25">
      <c r="A204" s="2" t="s">
        <v>469</v>
      </c>
      <c r="B204" s="3" t="s">
        <v>470</v>
      </c>
      <c r="C204" s="80" t="s">
        <v>471</v>
      </c>
      <c r="D204" s="73"/>
      <c r="E204" s="3" t="s">
        <v>61</v>
      </c>
      <c r="F204" s="27">
        <v>50</v>
      </c>
      <c r="G204" s="67">
        <v>0</v>
      </c>
      <c r="H204" s="27">
        <f>ROUND(F204*AO204,2)</f>
        <v>0</v>
      </c>
      <c r="I204" s="27">
        <f>ROUND(F204*AP204,2)</f>
        <v>0</v>
      </c>
      <c r="J204" s="27">
        <f>ROUND(F204*G204,2)</f>
        <v>0</v>
      </c>
      <c r="K204" s="27">
        <v>6.9999999999999994E-5</v>
      </c>
      <c r="L204" s="27">
        <f>F204*K204</f>
        <v>3.4999999999999996E-3</v>
      </c>
      <c r="M204" s="28" t="s">
        <v>62</v>
      </c>
      <c r="Z204" s="27">
        <f>ROUND(IF(AQ204="5",BJ204,0),2)</f>
        <v>0</v>
      </c>
      <c r="AB204" s="27">
        <f>ROUND(IF(AQ204="1",BH204,0),2)</f>
        <v>0</v>
      </c>
      <c r="AC204" s="27">
        <f>ROUND(IF(AQ204="1",BI204,0),2)</f>
        <v>0</v>
      </c>
      <c r="AD204" s="27">
        <f>ROUND(IF(AQ204="7",BH204,0),2)</f>
        <v>0</v>
      </c>
      <c r="AE204" s="27">
        <f>ROUND(IF(AQ204="7",BI204,0),2)</f>
        <v>0</v>
      </c>
      <c r="AF204" s="27">
        <f>ROUND(IF(AQ204="2",BH204,0),2)</f>
        <v>0</v>
      </c>
      <c r="AG204" s="27">
        <f>ROUND(IF(AQ204="2",BI204,0),2)</f>
        <v>0</v>
      </c>
      <c r="AH204" s="27">
        <f>ROUND(IF(AQ204="0",BJ204,0),2)</f>
        <v>0</v>
      </c>
      <c r="AI204" s="10" t="s">
        <v>55</v>
      </c>
      <c r="AJ204" s="27">
        <f>IF(AN204=0,J204,0)</f>
        <v>0</v>
      </c>
      <c r="AK204" s="27">
        <f>IF(AN204=12,J204,0)</f>
        <v>0</v>
      </c>
      <c r="AL204" s="27">
        <f>IF(AN204=21,J204,0)</f>
        <v>0</v>
      </c>
      <c r="AN204" s="27">
        <v>21</v>
      </c>
      <c r="AO204" s="27">
        <f>G204*0.206802721</f>
        <v>0</v>
      </c>
      <c r="AP204" s="27">
        <f>G204*(1-0.206802721)</f>
        <v>0</v>
      </c>
      <c r="AQ204" s="29" t="s">
        <v>117</v>
      </c>
      <c r="AV204" s="27">
        <f>ROUND(AW204+AX204,2)</f>
        <v>0</v>
      </c>
      <c r="AW204" s="27">
        <f>ROUND(F204*AO204,2)</f>
        <v>0</v>
      </c>
      <c r="AX204" s="27">
        <f>ROUND(F204*AP204,2)</f>
        <v>0</v>
      </c>
      <c r="AY204" s="29" t="s">
        <v>472</v>
      </c>
      <c r="AZ204" s="29" t="s">
        <v>473</v>
      </c>
      <c r="BA204" s="10" t="s">
        <v>65</v>
      </c>
      <c r="BC204" s="27">
        <f>AW204+AX204</f>
        <v>0</v>
      </c>
      <c r="BD204" s="27">
        <f>G204/(100-BE204)*100</f>
        <v>0</v>
      </c>
      <c r="BE204" s="27">
        <v>0</v>
      </c>
      <c r="BF204" s="27">
        <f>L204</f>
        <v>3.4999999999999996E-3</v>
      </c>
      <c r="BH204" s="27">
        <f>F204*AO204</f>
        <v>0</v>
      </c>
      <c r="BI204" s="27">
        <f>F204*AP204</f>
        <v>0</v>
      </c>
      <c r="BJ204" s="27">
        <f>F204*G204</f>
        <v>0</v>
      </c>
      <c r="BK204" s="29" t="s">
        <v>66</v>
      </c>
      <c r="BL204" s="27">
        <v>784</v>
      </c>
      <c r="BW204" s="27">
        <v>21</v>
      </c>
      <c r="BX204" s="4" t="s">
        <v>471</v>
      </c>
    </row>
    <row r="205" spans="1:76" x14ac:dyDescent="0.25">
      <c r="A205" s="30"/>
      <c r="C205" s="31" t="s">
        <v>474</v>
      </c>
      <c r="D205" s="31" t="s">
        <v>79</v>
      </c>
      <c r="F205" s="32">
        <v>50</v>
      </c>
      <c r="M205" s="33"/>
    </row>
    <row r="206" spans="1:76" x14ac:dyDescent="0.25">
      <c r="A206" s="2" t="s">
        <v>475</v>
      </c>
      <c r="B206" s="3" t="s">
        <v>476</v>
      </c>
      <c r="C206" s="80" t="s">
        <v>477</v>
      </c>
      <c r="D206" s="73"/>
      <c r="E206" s="3" t="s">
        <v>61</v>
      </c>
      <c r="F206" s="27">
        <v>50</v>
      </c>
      <c r="G206" s="67">
        <v>0</v>
      </c>
      <c r="H206" s="27">
        <f>ROUND(F206*AO206,2)</f>
        <v>0</v>
      </c>
      <c r="I206" s="27">
        <f>ROUND(F206*AP206,2)</f>
        <v>0</v>
      </c>
      <c r="J206" s="27">
        <f>ROUND(F206*G206,2)</f>
        <v>0</v>
      </c>
      <c r="K206" s="27">
        <v>3.1E-4</v>
      </c>
      <c r="L206" s="27">
        <f>F206*K206</f>
        <v>1.55E-2</v>
      </c>
      <c r="M206" s="28" t="s">
        <v>62</v>
      </c>
      <c r="Z206" s="27">
        <f>ROUND(IF(AQ206="5",BJ206,0),2)</f>
        <v>0</v>
      </c>
      <c r="AB206" s="27">
        <f>ROUND(IF(AQ206="1",BH206,0),2)</f>
        <v>0</v>
      </c>
      <c r="AC206" s="27">
        <f>ROUND(IF(AQ206="1",BI206,0),2)</f>
        <v>0</v>
      </c>
      <c r="AD206" s="27">
        <f>ROUND(IF(AQ206="7",BH206,0),2)</f>
        <v>0</v>
      </c>
      <c r="AE206" s="27">
        <f>ROUND(IF(AQ206="7",BI206,0),2)</f>
        <v>0</v>
      </c>
      <c r="AF206" s="27">
        <f>ROUND(IF(AQ206="2",BH206,0),2)</f>
        <v>0</v>
      </c>
      <c r="AG206" s="27">
        <f>ROUND(IF(AQ206="2",BI206,0),2)</f>
        <v>0</v>
      </c>
      <c r="AH206" s="27">
        <f>ROUND(IF(AQ206="0",BJ206,0),2)</f>
        <v>0</v>
      </c>
      <c r="AI206" s="10" t="s">
        <v>55</v>
      </c>
      <c r="AJ206" s="27">
        <f>IF(AN206=0,J206,0)</f>
        <v>0</v>
      </c>
      <c r="AK206" s="27">
        <f>IF(AN206=12,J206,0)</f>
        <v>0</v>
      </c>
      <c r="AL206" s="27">
        <f>IF(AN206=21,J206,0)</f>
        <v>0</v>
      </c>
      <c r="AN206" s="27">
        <v>21</v>
      </c>
      <c r="AO206" s="27">
        <f>G206*0.250102669</f>
        <v>0</v>
      </c>
      <c r="AP206" s="27">
        <f>G206*(1-0.250102669)</f>
        <v>0</v>
      </c>
      <c r="AQ206" s="29" t="s">
        <v>117</v>
      </c>
      <c r="AV206" s="27">
        <f>ROUND(AW206+AX206,2)</f>
        <v>0</v>
      </c>
      <c r="AW206" s="27">
        <f>ROUND(F206*AO206,2)</f>
        <v>0</v>
      </c>
      <c r="AX206" s="27">
        <f>ROUND(F206*AP206,2)</f>
        <v>0</v>
      </c>
      <c r="AY206" s="29" t="s">
        <v>472</v>
      </c>
      <c r="AZ206" s="29" t="s">
        <v>473</v>
      </c>
      <c r="BA206" s="10" t="s">
        <v>65</v>
      </c>
      <c r="BC206" s="27">
        <f>AW206+AX206</f>
        <v>0</v>
      </c>
      <c r="BD206" s="27">
        <f>G206/(100-BE206)*100</f>
        <v>0</v>
      </c>
      <c r="BE206" s="27">
        <v>0</v>
      </c>
      <c r="BF206" s="27">
        <f>L206</f>
        <v>1.55E-2</v>
      </c>
      <c r="BH206" s="27">
        <f>F206*AO206</f>
        <v>0</v>
      </c>
      <c r="BI206" s="27">
        <f>F206*AP206</f>
        <v>0</v>
      </c>
      <c r="BJ206" s="27">
        <f>F206*G206</f>
        <v>0</v>
      </c>
      <c r="BK206" s="29" t="s">
        <v>66</v>
      </c>
      <c r="BL206" s="27">
        <v>784</v>
      </c>
      <c r="BW206" s="27">
        <v>21</v>
      </c>
      <c r="BX206" s="4" t="s">
        <v>477</v>
      </c>
    </row>
    <row r="207" spans="1:76" x14ac:dyDescent="0.25">
      <c r="A207" s="30"/>
      <c r="C207" s="31" t="s">
        <v>474</v>
      </c>
      <c r="D207" s="31" t="s">
        <v>79</v>
      </c>
      <c r="F207" s="32">
        <v>50</v>
      </c>
      <c r="M207" s="33"/>
    </row>
    <row r="208" spans="1:76" x14ac:dyDescent="0.25">
      <c r="A208" s="34" t="s">
        <v>55</v>
      </c>
      <c r="B208" s="35" t="s">
        <v>478</v>
      </c>
      <c r="C208" s="133" t="s">
        <v>479</v>
      </c>
      <c r="D208" s="134"/>
      <c r="E208" s="36" t="s">
        <v>4</v>
      </c>
      <c r="F208" s="36" t="s">
        <v>4</v>
      </c>
      <c r="G208" s="36" t="s">
        <v>4</v>
      </c>
      <c r="H208" s="1">
        <f>H209+H212+H219</f>
        <v>0</v>
      </c>
      <c r="I208" s="1">
        <f>I209+I212+I219</f>
        <v>0</v>
      </c>
      <c r="J208" s="1">
        <f>J209+J212+J219</f>
        <v>0</v>
      </c>
      <c r="K208" s="10" t="s">
        <v>55</v>
      </c>
      <c r="L208" s="1">
        <f>L209+L212+L219</f>
        <v>0</v>
      </c>
      <c r="M208" s="37" t="s">
        <v>55</v>
      </c>
      <c r="AI208" s="10" t="s">
        <v>55</v>
      </c>
    </row>
    <row r="209" spans="1:76" x14ac:dyDescent="0.25">
      <c r="A209" s="34" t="s">
        <v>55</v>
      </c>
      <c r="B209" s="35" t="s">
        <v>480</v>
      </c>
      <c r="C209" s="133" t="s">
        <v>481</v>
      </c>
      <c r="D209" s="134"/>
      <c r="E209" s="36" t="s">
        <v>4</v>
      </c>
      <c r="F209" s="36" t="s">
        <v>4</v>
      </c>
      <c r="G209" s="36" t="s">
        <v>4</v>
      </c>
      <c r="H209" s="1">
        <f>ROUND(SUM(H210:H210),2)</f>
        <v>0</v>
      </c>
      <c r="I209" s="1">
        <f>ROUND(SUM(I210:I210),2)</f>
        <v>0</v>
      </c>
      <c r="J209" s="1">
        <f>ROUND(SUM(J210:J210),2)</f>
        <v>0</v>
      </c>
      <c r="K209" s="10" t="s">
        <v>55</v>
      </c>
      <c r="L209" s="1">
        <f>SUM(L210:L210)</f>
        <v>0</v>
      </c>
      <c r="M209" s="37" t="s">
        <v>55</v>
      </c>
      <c r="AI209" s="10" t="s">
        <v>55</v>
      </c>
      <c r="AS209" s="1">
        <f>SUM(AJ210:AJ210)</f>
        <v>0</v>
      </c>
      <c r="AT209" s="1">
        <f>SUM(AK210:AK210)</f>
        <v>0</v>
      </c>
      <c r="AU209" s="1">
        <f>SUM(AL210:AL210)</f>
        <v>0</v>
      </c>
    </row>
    <row r="210" spans="1:76" x14ac:dyDescent="0.25">
      <c r="A210" s="2" t="s">
        <v>482</v>
      </c>
      <c r="B210" s="3" t="s">
        <v>483</v>
      </c>
      <c r="C210" s="80" t="s">
        <v>484</v>
      </c>
      <c r="D210" s="73"/>
      <c r="E210" s="3" t="s">
        <v>485</v>
      </c>
      <c r="F210" s="27">
        <v>1</v>
      </c>
      <c r="G210" s="67">
        <v>0</v>
      </c>
      <c r="H210" s="27">
        <f>ROUND(F210*AO210,2)</f>
        <v>0</v>
      </c>
      <c r="I210" s="27">
        <f>ROUND(F210*AP210,2)</f>
        <v>0</v>
      </c>
      <c r="J210" s="27">
        <f>ROUND(F210*G210,2)</f>
        <v>0</v>
      </c>
      <c r="K210" s="27">
        <v>0</v>
      </c>
      <c r="L210" s="27">
        <f>F210*K210</f>
        <v>0</v>
      </c>
      <c r="M210" s="28" t="s">
        <v>62</v>
      </c>
      <c r="Z210" s="27">
        <f>ROUND(IF(AQ210="5",BJ210,0),2)</f>
        <v>0</v>
      </c>
      <c r="AB210" s="27">
        <f>ROUND(IF(AQ210="1",BH210,0),2)</f>
        <v>0</v>
      </c>
      <c r="AC210" s="27">
        <f>ROUND(IF(AQ210="1",BI210,0),2)</f>
        <v>0</v>
      </c>
      <c r="AD210" s="27">
        <f>ROUND(IF(AQ210="7",BH210,0),2)</f>
        <v>0</v>
      </c>
      <c r="AE210" s="27">
        <f>ROUND(IF(AQ210="7",BI210,0),2)</f>
        <v>0</v>
      </c>
      <c r="AF210" s="27">
        <f>ROUND(IF(AQ210="2",BH210,0),2)</f>
        <v>0</v>
      </c>
      <c r="AG210" s="27">
        <f>ROUND(IF(AQ210="2",BI210,0),2)</f>
        <v>0</v>
      </c>
      <c r="AH210" s="27">
        <f>ROUND(IF(AQ210="0",BJ210,0),2)</f>
        <v>0</v>
      </c>
      <c r="AI210" s="10" t="s">
        <v>55</v>
      </c>
      <c r="AJ210" s="27">
        <f>IF(AN210=0,J210,0)</f>
        <v>0</v>
      </c>
      <c r="AK210" s="27">
        <f>IF(AN210=12,J210,0)</f>
        <v>0</v>
      </c>
      <c r="AL210" s="27">
        <f>IF(AN210=21,J210,0)</f>
        <v>0</v>
      </c>
      <c r="AN210" s="27">
        <v>21</v>
      </c>
      <c r="AO210" s="27">
        <f>G210*1</f>
        <v>0</v>
      </c>
      <c r="AP210" s="27">
        <f>G210*(1-1)</f>
        <v>0</v>
      </c>
      <c r="AQ210" s="29" t="s">
        <v>205</v>
      </c>
      <c r="AV210" s="27">
        <f>ROUND(AW210+AX210,2)</f>
        <v>0</v>
      </c>
      <c r="AW210" s="27">
        <f>ROUND(F210*AO210,2)</f>
        <v>0</v>
      </c>
      <c r="AX210" s="27">
        <f>ROUND(F210*AP210,2)</f>
        <v>0</v>
      </c>
      <c r="AY210" s="29" t="s">
        <v>486</v>
      </c>
      <c r="AZ210" s="29" t="s">
        <v>487</v>
      </c>
      <c r="BA210" s="10" t="s">
        <v>65</v>
      </c>
      <c r="BC210" s="27">
        <f>AW210+AX210</f>
        <v>0</v>
      </c>
      <c r="BD210" s="27">
        <f>G210/(100-BE210)*100</f>
        <v>0</v>
      </c>
      <c r="BE210" s="27">
        <v>0</v>
      </c>
      <c r="BF210" s="27">
        <f>L210</f>
        <v>0</v>
      </c>
      <c r="BH210" s="27">
        <f>F210*AO210</f>
        <v>0</v>
      </c>
      <c r="BI210" s="27">
        <f>F210*AP210</f>
        <v>0</v>
      </c>
      <c r="BJ210" s="27">
        <f>F210*G210</f>
        <v>0</v>
      </c>
      <c r="BK210" s="29" t="s">
        <v>66</v>
      </c>
      <c r="BL210" s="27"/>
      <c r="BM210" s="27">
        <f>F210*G210</f>
        <v>0</v>
      </c>
      <c r="BW210" s="27">
        <v>21</v>
      </c>
      <c r="BX210" s="4" t="s">
        <v>484</v>
      </c>
    </row>
    <row r="211" spans="1:76" x14ac:dyDescent="0.25">
      <c r="A211" s="30"/>
      <c r="C211" s="31" t="s">
        <v>58</v>
      </c>
      <c r="D211" s="31" t="s">
        <v>488</v>
      </c>
      <c r="F211" s="32">
        <v>1</v>
      </c>
      <c r="M211" s="33"/>
    </row>
    <row r="212" spans="1:76" x14ac:dyDescent="0.25">
      <c r="A212" s="34" t="s">
        <v>55</v>
      </c>
      <c r="B212" s="35" t="s">
        <v>489</v>
      </c>
      <c r="C212" s="133" t="s">
        <v>490</v>
      </c>
      <c r="D212" s="134"/>
      <c r="E212" s="36" t="s">
        <v>4</v>
      </c>
      <c r="F212" s="36" t="s">
        <v>4</v>
      </c>
      <c r="G212" s="36" t="s">
        <v>4</v>
      </c>
      <c r="H212" s="1">
        <f>ROUND(SUM(H213:H217),2)</f>
        <v>0</v>
      </c>
      <c r="I212" s="1">
        <f>ROUND(SUM(I213:I217),2)</f>
        <v>0</v>
      </c>
      <c r="J212" s="1">
        <f>ROUND(SUM(J213:J217),2)</f>
        <v>0</v>
      </c>
      <c r="K212" s="10" t="s">
        <v>55</v>
      </c>
      <c r="L212" s="1">
        <f>SUM(L213:L217)</f>
        <v>0</v>
      </c>
      <c r="M212" s="37" t="s">
        <v>55</v>
      </c>
      <c r="AI212" s="10" t="s">
        <v>55</v>
      </c>
      <c r="AS212" s="1">
        <f>SUM(AJ213:AJ217)</f>
        <v>0</v>
      </c>
      <c r="AT212" s="1">
        <f>SUM(AK213:AK217)</f>
        <v>0</v>
      </c>
      <c r="AU212" s="1">
        <f>SUM(AL213:AL217)</f>
        <v>0</v>
      </c>
    </row>
    <row r="213" spans="1:76" x14ac:dyDescent="0.25">
      <c r="A213" s="2" t="s">
        <v>491</v>
      </c>
      <c r="B213" s="3" t="s">
        <v>492</v>
      </c>
      <c r="C213" s="80" t="s">
        <v>490</v>
      </c>
      <c r="D213" s="73"/>
      <c r="E213" s="3" t="s">
        <v>485</v>
      </c>
      <c r="F213" s="27">
        <v>1</v>
      </c>
      <c r="G213" s="67">
        <v>0</v>
      </c>
      <c r="H213" s="27">
        <f>ROUND(F213*AO213,2)</f>
        <v>0</v>
      </c>
      <c r="I213" s="27">
        <f>ROUND(F213*AP213,2)</f>
        <v>0</v>
      </c>
      <c r="J213" s="27">
        <f>ROUND(F213*G213,2)</f>
        <v>0</v>
      </c>
      <c r="K213" s="27">
        <v>0</v>
      </c>
      <c r="L213" s="27">
        <f>F213*K213</f>
        <v>0</v>
      </c>
      <c r="M213" s="28" t="s">
        <v>62</v>
      </c>
      <c r="Z213" s="27">
        <f>ROUND(IF(AQ213="5",BJ213,0),2)</f>
        <v>0</v>
      </c>
      <c r="AB213" s="27">
        <f>ROUND(IF(AQ213="1",BH213,0),2)</f>
        <v>0</v>
      </c>
      <c r="AC213" s="27">
        <f>ROUND(IF(AQ213="1",BI213,0),2)</f>
        <v>0</v>
      </c>
      <c r="AD213" s="27">
        <f>ROUND(IF(AQ213="7",BH213,0),2)</f>
        <v>0</v>
      </c>
      <c r="AE213" s="27">
        <f>ROUND(IF(AQ213="7",BI213,0),2)</f>
        <v>0</v>
      </c>
      <c r="AF213" s="27">
        <f>ROUND(IF(AQ213="2",BH213,0),2)</f>
        <v>0</v>
      </c>
      <c r="AG213" s="27">
        <f>ROUND(IF(AQ213="2",BI213,0),2)</f>
        <v>0</v>
      </c>
      <c r="AH213" s="27">
        <f>ROUND(IF(AQ213="0",BJ213,0),2)</f>
        <v>0</v>
      </c>
      <c r="AI213" s="10" t="s">
        <v>55</v>
      </c>
      <c r="AJ213" s="27">
        <f>IF(AN213=0,J213,0)</f>
        <v>0</v>
      </c>
      <c r="AK213" s="27">
        <f>IF(AN213=12,J213,0)</f>
        <v>0</v>
      </c>
      <c r="AL213" s="27">
        <f>IF(AN213=21,J213,0)</f>
        <v>0</v>
      </c>
      <c r="AN213" s="27">
        <v>21</v>
      </c>
      <c r="AO213" s="27">
        <f>G213*1</f>
        <v>0</v>
      </c>
      <c r="AP213" s="27">
        <f>G213*(1-1)</f>
        <v>0</v>
      </c>
      <c r="AQ213" s="29" t="s">
        <v>205</v>
      </c>
      <c r="AV213" s="27">
        <f>ROUND(AW213+AX213,2)</f>
        <v>0</v>
      </c>
      <c r="AW213" s="27">
        <f>ROUND(F213*AO213,2)</f>
        <v>0</v>
      </c>
      <c r="AX213" s="27">
        <f>ROUND(F213*AP213,2)</f>
        <v>0</v>
      </c>
      <c r="AY213" s="29" t="s">
        <v>493</v>
      </c>
      <c r="AZ213" s="29" t="s">
        <v>487</v>
      </c>
      <c r="BA213" s="10" t="s">
        <v>65</v>
      </c>
      <c r="BC213" s="27">
        <f>AW213+AX213</f>
        <v>0</v>
      </c>
      <c r="BD213" s="27">
        <f>G213/(100-BE213)*100</f>
        <v>0</v>
      </c>
      <c r="BE213" s="27">
        <v>0</v>
      </c>
      <c r="BF213" s="27">
        <f>L213</f>
        <v>0</v>
      </c>
      <c r="BH213" s="27">
        <f>F213*AO213</f>
        <v>0</v>
      </c>
      <c r="BI213" s="27">
        <f>F213*AP213</f>
        <v>0</v>
      </c>
      <c r="BJ213" s="27">
        <f>F213*G213</f>
        <v>0</v>
      </c>
      <c r="BK213" s="29" t="s">
        <v>66</v>
      </c>
      <c r="BL213" s="27"/>
      <c r="BO213" s="27">
        <f>F213*G213</f>
        <v>0</v>
      </c>
      <c r="BW213" s="27">
        <v>21</v>
      </c>
      <c r="BX213" s="4" t="s">
        <v>490</v>
      </c>
    </row>
    <row r="214" spans="1:76" x14ac:dyDescent="0.25">
      <c r="A214" s="30"/>
      <c r="C214" s="31" t="s">
        <v>58</v>
      </c>
      <c r="D214" s="31" t="s">
        <v>494</v>
      </c>
      <c r="F214" s="32">
        <v>1</v>
      </c>
      <c r="M214" s="33"/>
    </row>
    <row r="215" spans="1:76" x14ac:dyDescent="0.25">
      <c r="A215" s="2" t="s">
        <v>495</v>
      </c>
      <c r="B215" s="3" t="s">
        <v>496</v>
      </c>
      <c r="C215" s="80" t="s">
        <v>497</v>
      </c>
      <c r="D215" s="73"/>
      <c r="E215" s="3" t="s">
        <v>485</v>
      </c>
      <c r="F215" s="27">
        <v>1</v>
      </c>
      <c r="G215" s="67">
        <v>0</v>
      </c>
      <c r="H215" s="27">
        <f>ROUND(F215*AO215,2)</f>
        <v>0</v>
      </c>
      <c r="I215" s="27">
        <f>ROUND(F215*AP215,2)</f>
        <v>0</v>
      </c>
      <c r="J215" s="27">
        <f>ROUND(F215*G215,2)</f>
        <v>0</v>
      </c>
      <c r="K215" s="27">
        <v>0</v>
      </c>
      <c r="L215" s="27">
        <f>F215*K215</f>
        <v>0</v>
      </c>
      <c r="M215" s="28" t="s">
        <v>62</v>
      </c>
      <c r="Z215" s="27">
        <f>ROUND(IF(AQ215="5",BJ215,0),2)</f>
        <v>0</v>
      </c>
      <c r="AB215" s="27">
        <f>ROUND(IF(AQ215="1",BH215,0),2)</f>
        <v>0</v>
      </c>
      <c r="AC215" s="27">
        <f>ROUND(IF(AQ215="1",BI215,0),2)</f>
        <v>0</v>
      </c>
      <c r="AD215" s="27">
        <f>ROUND(IF(AQ215="7",BH215,0),2)</f>
        <v>0</v>
      </c>
      <c r="AE215" s="27">
        <f>ROUND(IF(AQ215="7",BI215,0),2)</f>
        <v>0</v>
      </c>
      <c r="AF215" s="27">
        <f>ROUND(IF(AQ215="2",BH215,0),2)</f>
        <v>0</v>
      </c>
      <c r="AG215" s="27">
        <f>ROUND(IF(AQ215="2",BI215,0),2)</f>
        <v>0</v>
      </c>
      <c r="AH215" s="27">
        <f>ROUND(IF(AQ215="0",BJ215,0),2)</f>
        <v>0</v>
      </c>
      <c r="AI215" s="10" t="s">
        <v>55</v>
      </c>
      <c r="AJ215" s="27">
        <f>IF(AN215=0,J215,0)</f>
        <v>0</v>
      </c>
      <c r="AK215" s="27">
        <f>IF(AN215=12,J215,0)</f>
        <v>0</v>
      </c>
      <c r="AL215" s="27">
        <f>IF(AN215=21,J215,0)</f>
        <v>0</v>
      </c>
      <c r="AN215" s="27">
        <v>21</v>
      </c>
      <c r="AO215" s="27">
        <f>G215*1</f>
        <v>0</v>
      </c>
      <c r="AP215" s="27">
        <f>G215*(1-1)</f>
        <v>0</v>
      </c>
      <c r="AQ215" s="29" t="s">
        <v>205</v>
      </c>
      <c r="AV215" s="27">
        <f>ROUND(AW215+AX215,2)</f>
        <v>0</v>
      </c>
      <c r="AW215" s="27">
        <f>ROUND(F215*AO215,2)</f>
        <v>0</v>
      </c>
      <c r="AX215" s="27">
        <f>ROUND(F215*AP215,2)</f>
        <v>0</v>
      </c>
      <c r="AY215" s="29" t="s">
        <v>493</v>
      </c>
      <c r="AZ215" s="29" t="s">
        <v>487</v>
      </c>
      <c r="BA215" s="10" t="s">
        <v>65</v>
      </c>
      <c r="BC215" s="27">
        <f>AW215+AX215</f>
        <v>0</v>
      </c>
      <c r="BD215" s="27">
        <f>G215/(100-BE215)*100</f>
        <v>0</v>
      </c>
      <c r="BE215" s="27">
        <v>0</v>
      </c>
      <c r="BF215" s="27">
        <f>L215</f>
        <v>0</v>
      </c>
      <c r="BH215" s="27">
        <f>F215*AO215</f>
        <v>0</v>
      </c>
      <c r="BI215" s="27">
        <f>F215*AP215</f>
        <v>0</v>
      </c>
      <c r="BJ215" s="27">
        <f>F215*G215</f>
        <v>0</v>
      </c>
      <c r="BK215" s="29" t="s">
        <v>66</v>
      </c>
      <c r="BL215" s="27"/>
      <c r="BO215" s="27">
        <f>F215*G215</f>
        <v>0</v>
      </c>
      <c r="BW215" s="27">
        <v>21</v>
      </c>
      <c r="BX215" s="4" t="s">
        <v>497</v>
      </c>
    </row>
    <row r="216" spans="1:76" x14ac:dyDescent="0.25">
      <c r="A216" s="30"/>
      <c r="C216" s="31" t="s">
        <v>58</v>
      </c>
      <c r="D216" s="31" t="s">
        <v>498</v>
      </c>
      <c r="F216" s="32">
        <v>1</v>
      </c>
      <c r="M216" s="33"/>
    </row>
    <row r="217" spans="1:76" x14ac:dyDescent="0.25">
      <c r="A217" s="2" t="s">
        <v>499</v>
      </c>
      <c r="B217" s="3" t="s">
        <v>500</v>
      </c>
      <c r="C217" s="80" t="s">
        <v>501</v>
      </c>
      <c r="D217" s="73"/>
      <c r="E217" s="3" t="s">
        <v>485</v>
      </c>
      <c r="F217" s="27">
        <v>1</v>
      </c>
      <c r="G217" s="67">
        <v>0</v>
      </c>
      <c r="H217" s="27">
        <f>ROUND(F217*AO217,2)</f>
        <v>0</v>
      </c>
      <c r="I217" s="27">
        <f>ROUND(F217*AP217,2)</f>
        <v>0</v>
      </c>
      <c r="J217" s="27">
        <f>ROUND(F217*G217,2)</f>
        <v>0</v>
      </c>
      <c r="K217" s="27">
        <v>0</v>
      </c>
      <c r="L217" s="27">
        <f>F217*K217</f>
        <v>0</v>
      </c>
      <c r="M217" s="28" t="s">
        <v>62</v>
      </c>
      <c r="Z217" s="27">
        <f>ROUND(IF(AQ217="5",BJ217,0),2)</f>
        <v>0</v>
      </c>
      <c r="AB217" s="27">
        <f>ROUND(IF(AQ217="1",BH217,0),2)</f>
        <v>0</v>
      </c>
      <c r="AC217" s="27">
        <f>ROUND(IF(AQ217="1",BI217,0),2)</f>
        <v>0</v>
      </c>
      <c r="AD217" s="27">
        <f>ROUND(IF(AQ217="7",BH217,0),2)</f>
        <v>0</v>
      </c>
      <c r="AE217" s="27">
        <f>ROUND(IF(AQ217="7",BI217,0),2)</f>
        <v>0</v>
      </c>
      <c r="AF217" s="27">
        <f>ROUND(IF(AQ217="2",BH217,0),2)</f>
        <v>0</v>
      </c>
      <c r="AG217" s="27">
        <f>ROUND(IF(AQ217="2",BI217,0),2)</f>
        <v>0</v>
      </c>
      <c r="AH217" s="27">
        <f>ROUND(IF(AQ217="0",BJ217,0),2)</f>
        <v>0</v>
      </c>
      <c r="AI217" s="10" t="s">
        <v>55</v>
      </c>
      <c r="AJ217" s="27">
        <f>IF(AN217=0,J217,0)</f>
        <v>0</v>
      </c>
      <c r="AK217" s="27">
        <f>IF(AN217=12,J217,0)</f>
        <v>0</v>
      </c>
      <c r="AL217" s="27">
        <f>IF(AN217=21,J217,0)</f>
        <v>0</v>
      </c>
      <c r="AN217" s="27">
        <v>21</v>
      </c>
      <c r="AO217" s="27">
        <f>G217*1</f>
        <v>0</v>
      </c>
      <c r="AP217" s="27">
        <f>G217*(1-1)</f>
        <v>0</v>
      </c>
      <c r="AQ217" s="29" t="s">
        <v>205</v>
      </c>
      <c r="AV217" s="27">
        <f>ROUND(AW217+AX217,2)</f>
        <v>0</v>
      </c>
      <c r="AW217" s="27">
        <f>ROUND(F217*AO217,2)</f>
        <v>0</v>
      </c>
      <c r="AX217" s="27">
        <f>ROUND(F217*AP217,2)</f>
        <v>0</v>
      </c>
      <c r="AY217" s="29" t="s">
        <v>493</v>
      </c>
      <c r="AZ217" s="29" t="s">
        <v>487</v>
      </c>
      <c r="BA217" s="10" t="s">
        <v>65</v>
      </c>
      <c r="BC217" s="27">
        <f>AW217+AX217</f>
        <v>0</v>
      </c>
      <c r="BD217" s="27">
        <f>G217/(100-BE217)*100</f>
        <v>0</v>
      </c>
      <c r="BE217" s="27">
        <v>0</v>
      </c>
      <c r="BF217" s="27">
        <f>L217</f>
        <v>0</v>
      </c>
      <c r="BH217" s="27">
        <f>F217*AO217</f>
        <v>0</v>
      </c>
      <c r="BI217" s="27">
        <f>F217*AP217</f>
        <v>0</v>
      </c>
      <c r="BJ217" s="27">
        <f>F217*G217</f>
        <v>0</v>
      </c>
      <c r="BK217" s="29" t="s">
        <v>66</v>
      </c>
      <c r="BL217" s="27"/>
      <c r="BO217" s="27">
        <f>F217*G217</f>
        <v>0</v>
      </c>
      <c r="BW217" s="27">
        <v>21</v>
      </c>
      <c r="BX217" s="4" t="s">
        <v>501</v>
      </c>
    </row>
    <row r="218" spans="1:76" x14ac:dyDescent="0.25">
      <c r="A218" s="30"/>
      <c r="C218" s="31" t="s">
        <v>58</v>
      </c>
      <c r="D218" s="31" t="s">
        <v>502</v>
      </c>
      <c r="F218" s="32">
        <v>1</v>
      </c>
      <c r="M218" s="33"/>
    </row>
    <row r="219" spans="1:76" x14ac:dyDescent="0.25">
      <c r="A219" s="34" t="s">
        <v>55</v>
      </c>
      <c r="B219" s="35" t="s">
        <v>503</v>
      </c>
      <c r="C219" s="133" t="s">
        <v>504</v>
      </c>
      <c r="D219" s="134"/>
      <c r="E219" s="36" t="s">
        <v>4</v>
      </c>
      <c r="F219" s="36" t="s">
        <v>4</v>
      </c>
      <c r="G219" s="36" t="s">
        <v>4</v>
      </c>
      <c r="H219" s="1">
        <f>ROUND(SUM(H220:H220),2)</f>
        <v>0</v>
      </c>
      <c r="I219" s="1">
        <f>ROUND(SUM(I220:I220),2)</f>
        <v>0</v>
      </c>
      <c r="J219" s="1">
        <f>ROUND(SUM(J220:J220),2)</f>
        <v>0</v>
      </c>
      <c r="K219" s="10" t="s">
        <v>55</v>
      </c>
      <c r="L219" s="1">
        <f>SUM(L220:L220)</f>
        <v>0</v>
      </c>
      <c r="M219" s="37" t="s">
        <v>55</v>
      </c>
      <c r="AI219" s="10" t="s">
        <v>55</v>
      </c>
      <c r="AS219" s="1">
        <f>SUM(AJ220:AJ220)</f>
        <v>0</v>
      </c>
      <c r="AT219" s="1">
        <f>SUM(AK220:AK220)</f>
        <v>0</v>
      </c>
      <c r="AU219" s="1">
        <f>SUM(AL220:AL220)</f>
        <v>0</v>
      </c>
    </row>
    <row r="220" spans="1:76" x14ac:dyDescent="0.25">
      <c r="A220" s="2" t="s">
        <v>505</v>
      </c>
      <c r="B220" s="3" t="s">
        <v>506</v>
      </c>
      <c r="C220" s="80" t="s">
        <v>507</v>
      </c>
      <c r="D220" s="73"/>
      <c r="E220" s="3" t="s">
        <v>485</v>
      </c>
      <c r="F220" s="27">
        <v>1</v>
      </c>
      <c r="G220" s="67">
        <v>0</v>
      </c>
      <c r="H220" s="27">
        <f>ROUND(F220*AO220,2)</f>
        <v>0</v>
      </c>
      <c r="I220" s="27">
        <f>ROUND(F220*AP220,2)</f>
        <v>0</v>
      </c>
      <c r="J220" s="27">
        <f>ROUND(F220*G220,2)</f>
        <v>0</v>
      </c>
      <c r="K220" s="27">
        <v>0</v>
      </c>
      <c r="L220" s="27">
        <f>F220*K220</f>
        <v>0</v>
      </c>
      <c r="M220" s="28" t="s">
        <v>62</v>
      </c>
      <c r="Z220" s="27">
        <f>ROUND(IF(AQ220="5",BJ220,0),2)</f>
        <v>0</v>
      </c>
      <c r="AB220" s="27">
        <f>ROUND(IF(AQ220="1",BH220,0),2)</f>
        <v>0</v>
      </c>
      <c r="AC220" s="27">
        <f>ROUND(IF(AQ220="1",BI220,0),2)</f>
        <v>0</v>
      </c>
      <c r="AD220" s="27">
        <f>ROUND(IF(AQ220="7",BH220,0),2)</f>
        <v>0</v>
      </c>
      <c r="AE220" s="27">
        <f>ROUND(IF(AQ220="7",BI220,0),2)</f>
        <v>0</v>
      </c>
      <c r="AF220" s="27">
        <f>ROUND(IF(AQ220="2",BH220,0),2)</f>
        <v>0</v>
      </c>
      <c r="AG220" s="27">
        <f>ROUND(IF(AQ220="2",BI220,0),2)</f>
        <v>0</v>
      </c>
      <c r="AH220" s="27">
        <f>ROUND(IF(AQ220="0",BJ220,0),2)</f>
        <v>0</v>
      </c>
      <c r="AI220" s="10" t="s">
        <v>55</v>
      </c>
      <c r="AJ220" s="27">
        <f>IF(AN220=0,J220,0)</f>
        <v>0</v>
      </c>
      <c r="AK220" s="27">
        <f>IF(AN220=12,J220,0)</f>
        <v>0</v>
      </c>
      <c r="AL220" s="27">
        <f>IF(AN220=21,J220,0)</f>
        <v>0</v>
      </c>
      <c r="AN220" s="27">
        <v>21</v>
      </c>
      <c r="AO220" s="27">
        <f>G220*1</f>
        <v>0</v>
      </c>
      <c r="AP220" s="27">
        <f>G220*(1-1)</f>
        <v>0</v>
      </c>
      <c r="AQ220" s="29" t="s">
        <v>205</v>
      </c>
      <c r="AV220" s="27">
        <f>ROUND(AW220+AX220,2)</f>
        <v>0</v>
      </c>
      <c r="AW220" s="27">
        <f>ROUND(F220*AO220,2)</f>
        <v>0</v>
      </c>
      <c r="AX220" s="27">
        <f>ROUND(F220*AP220,2)</f>
        <v>0</v>
      </c>
      <c r="AY220" s="29" t="s">
        <v>508</v>
      </c>
      <c r="AZ220" s="29" t="s">
        <v>487</v>
      </c>
      <c r="BA220" s="10" t="s">
        <v>65</v>
      </c>
      <c r="BC220" s="27">
        <f>AW220+AX220</f>
        <v>0</v>
      </c>
      <c r="BD220" s="27">
        <f>G220/(100-BE220)*100</f>
        <v>0</v>
      </c>
      <c r="BE220" s="27">
        <v>0</v>
      </c>
      <c r="BF220" s="27">
        <f>L220</f>
        <v>0</v>
      </c>
      <c r="BH220" s="27">
        <f>F220*AO220</f>
        <v>0</v>
      </c>
      <c r="BI220" s="27">
        <f>F220*AP220</f>
        <v>0</v>
      </c>
      <c r="BJ220" s="27">
        <f>F220*G220</f>
        <v>0</v>
      </c>
      <c r="BK220" s="29" t="s">
        <v>66</v>
      </c>
      <c r="BL220" s="27"/>
      <c r="BS220" s="27">
        <f>F220*G220</f>
        <v>0</v>
      </c>
      <c r="BW220" s="27">
        <v>21</v>
      </c>
      <c r="BX220" s="4" t="s">
        <v>507</v>
      </c>
    </row>
    <row r="221" spans="1:76" x14ac:dyDescent="0.25">
      <c r="A221" s="38"/>
      <c r="B221" s="39"/>
      <c r="C221" s="40" t="s">
        <v>58</v>
      </c>
      <c r="D221" s="40" t="s">
        <v>509</v>
      </c>
      <c r="E221" s="39"/>
      <c r="F221" s="41">
        <v>1</v>
      </c>
      <c r="G221" s="39"/>
      <c r="H221" s="39"/>
      <c r="I221" s="39"/>
      <c r="J221" s="39"/>
      <c r="K221" s="39"/>
      <c r="L221" s="39"/>
      <c r="M221" s="42"/>
    </row>
    <row r="222" spans="1:76" x14ac:dyDescent="0.25">
      <c r="H222" s="147" t="s">
        <v>510</v>
      </c>
      <c r="I222" s="147"/>
      <c r="J222" s="43">
        <f>ROUND(SUM(J12,J16,J20,J23,J26,J30,J43,J47,J50,J57,J67,J73,J75,J82,J106,J128,J145,J157,J167,J194,J203,J209,J212,J219),2)</f>
        <v>0</v>
      </c>
    </row>
    <row r="223" spans="1:76" x14ac:dyDescent="0.25">
      <c r="A223" s="44" t="s">
        <v>511</v>
      </c>
    </row>
    <row r="224" spans="1:76" ht="12.75" customHeight="1" x14ac:dyDescent="0.25">
      <c r="A224" s="80" t="s">
        <v>55</v>
      </c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</row>
  </sheetData>
  <mergeCells count="155">
    <mergeCell ref="C219:D219"/>
    <mergeCell ref="C220:D220"/>
    <mergeCell ref="H222:I222"/>
    <mergeCell ref="A224:M224"/>
    <mergeCell ref="C210:D210"/>
    <mergeCell ref="C212:D212"/>
    <mergeCell ref="C213:D213"/>
    <mergeCell ref="C215:D215"/>
    <mergeCell ref="C217:D217"/>
    <mergeCell ref="C203:D203"/>
    <mergeCell ref="C204:D204"/>
    <mergeCell ref="C206:D206"/>
    <mergeCell ref="C208:D208"/>
    <mergeCell ref="C209:D209"/>
    <mergeCell ref="C195:D195"/>
    <mergeCell ref="C197:D197"/>
    <mergeCell ref="C198:M198"/>
    <mergeCell ref="C200:D200"/>
    <mergeCell ref="C201:M201"/>
    <mergeCell ref="C186:D186"/>
    <mergeCell ref="C188:D188"/>
    <mergeCell ref="C191:D191"/>
    <mergeCell ref="C193:D193"/>
    <mergeCell ref="C194:D194"/>
    <mergeCell ref="C175:D175"/>
    <mergeCell ref="C177:D177"/>
    <mergeCell ref="C179:D179"/>
    <mergeCell ref="C181:D181"/>
    <mergeCell ref="C183:D183"/>
    <mergeCell ref="C167:D167"/>
    <mergeCell ref="C168:D168"/>
    <mergeCell ref="C170:D170"/>
    <mergeCell ref="C172:D172"/>
    <mergeCell ref="C173:M173"/>
    <mergeCell ref="C158:D158"/>
    <mergeCell ref="C160:D160"/>
    <mergeCell ref="C162:D162"/>
    <mergeCell ref="C164:D164"/>
    <mergeCell ref="C166:D166"/>
    <mergeCell ref="C151:D151"/>
    <mergeCell ref="C152:M152"/>
    <mergeCell ref="C154:D154"/>
    <mergeCell ref="C156:D156"/>
    <mergeCell ref="C157:D157"/>
    <mergeCell ref="C144:D144"/>
    <mergeCell ref="C145:D145"/>
    <mergeCell ref="C146:D146"/>
    <mergeCell ref="C147:M147"/>
    <mergeCell ref="C149:D149"/>
    <mergeCell ref="C135:M135"/>
    <mergeCell ref="C137:D137"/>
    <mergeCell ref="C139:D139"/>
    <mergeCell ref="C141:D141"/>
    <mergeCell ref="C142:M142"/>
    <mergeCell ref="C128:D128"/>
    <mergeCell ref="C129:D129"/>
    <mergeCell ref="C131:D131"/>
    <mergeCell ref="C132:M132"/>
    <mergeCell ref="C134:D134"/>
    <mergeCell ref="C119:D119"/>
    <mergeCell ref="C121:D121"/>
    <mergeCell ref="C123:D123"/>
    <mergeCell ref="C125:D125"/>
    <mergeCell ref="C127:D127"/>
    <mergeCell ref="C106:D106"/>
    <mergeCell ref="C107:D107"/>
    <mergeCell ref="C108:M108"/>
    <mergeCell ref="C110:D110"/>
    <mergeCell ref="C115:D115"/>
    <mergeCell ref="C98:D98"/>
    <mergeCell ref="C99:M99"/>
    <mergeCell ref="C102:D102"/>
    <mergeCell ref="C103:M103"/>
    <mergeCell ref="C105:D105"/>
    <mergeCell ref="C87:M87"/>
    <mergeCell ref="C90:D90"/>
    <mergeCell ref="C91:M91"/>
    <mergeCell ref="C94:D94"/>
    <mergeCell ref="C95:M95"/>
    <mergeCell ref="C79:D79"/>
    <mergeCell ref="C81:D81"/>
    <mergeCell ref="C82:D82"/>
    <mergeCell ref="C83:D83"/>
    <mergeCell ref="C86:D86"/>
    <mergeCell ref="C73:D73"/>
    <mergeCell ref="C74:D74"/>
    <mergeCell ref="C75:D75"/>
    <mergeCell ref="C76:D76"/>
    <mergeCell ref="C77:M77"/>
    <mergeCell ref="C67:D67"/>
    <mergeCell ref="C68:D68"/>
    <mergeCell ref="C69:D69"/>
    <mergeCell ref="C71:D71"/>
    <mergeCell ref="C72:D72"/>
    <mergeCell ref="C58:D58"/>
    <mergeCell ref="C59:M59"/>
    <mergeCell ref="C61:D61"/>
    <mergeCell ref="C62:M62"/>
    <mergeCell ref="C65:D65"/>
    <mergeCell ref="C50:D50"/>
    <mergeCell ref="C51:D51"/>
    <mergeCell ref="C53:D53"/>
    <mergeCell ref="C57:D57"/>
    <mergeCell ref="C39:D39"/>
    <mergeCell ref="C40:M40"/>
    <mergeCell ref="C43:D43"/>
    <mergeCell ref="C44:D44"/>
    <mergeCell ref="C47:D47"/>
    <mergeCell ref="C33:D33"/>
    <mergeCell ref="C34:M34"/>
    <mergeCell ref="C36:D36"/>
    <mergeCell ref="C23:D23"/>
    <mergeCell ref="C24:D24"/>
    <mergeCell ref="C26:D26"/>
    <mergeCell ref="C27:D27"/>
    <mergeCell ref="C28:M28"/>
    <mergeCell ref="C48:D48"/>
    <mergeCell ref="C20:D20"/>
    <mergeCell ref="C21:D21"/>
    <mergeCell ref="C11:D11"/>
    <mergeCell ref="H10:J10"/>
    <mergeCell ref="K10:L10"/>
    <mergeCell ref="C12:D12"/>
    <mergeCell ref="C13:D13"/>
    <mergeCell ref="C30:D30"/>
    <mergeCell ref="C31:D31"/>
    <mergeCell ref="C10:D10"/>
    <mergeCell ref="C8:D9"/>
    <mergeCell ref="G2:G3"/>
    <mergeCell ref="G4:G5"/>
    <mergeCell ref="G6:G7"/>
    <mergeCell ref="G8:G9"/>
    <mergeCell ref="C16:D16"/>
    <mergeCell ref="C17:D17"/>
    <mergeCell ref="C18:M18"/>
    <mergeCell ref="A1:M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M3"/>
    <mergeCell ref="I4:M5"/>
    <mergeCell ref="I6:M7"/>
    <mergeCell ref="I8:M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48" t="s">
        <v>479</v>
      </c>
      <c r="B1" s="149"/>
      <c r="C1" s="149"/>
      <c r="D1" s="149"/>
      <c r="E1" s="149"/>
      <c r="F1" s="149"/>
      <c r="G1" s="149"/>
      <c r="H1" s="149"/>
      <c r="I1" s="149"/>
    </row>
    <row r="2" spans="1:9" x14ac:dyDescent="0.25">
      <c r="A2" s="70" t="s">
        <v>1</v>
      </c>
      <c r="B2" s="71"/>
      <c r="C2" s="150" t="str">
        <f>'Stavební rozpočet'!C2</f>
        <v>OPRAVA STŘECHY ODCHOVNY</v>
      </c>
      <c r="D2" s="151"/>
      <c r="E2" s="85" t="s">
        <v>5</v>
      </c>
      <c r="F2" s="85" t="str">
        <f>'Stavební rozpočet'!I2</f>
        <v>ZOO a zámek Zlín - Lešná, p.o.</v>
      </c>
      <c r="G2" s="71"/>
      <c r="H2" s="85" t="s">
        <v>512</v>
      </c>
      <c r="I2" s="81" t="s">
        <v>513</v>
      </c>
    </row>
    <row r="3" spans="1:9" ht="15" customHeight="1" x14ac:dyDescent="0.25">
      <c r="A3" s="72"/>
      <c r="B3" s="73"/>
      <c r="C3" s="152"/>
      <c r="D3" s="152"/>
      <c r="E3" s="73"/>
      <c r="F3" s="73"/>
      <c r="G3" s="73"/>
      <c r="H3" s="73"/>
      <c r="I3" s="82"/>
    </row>
    <row r="4" spans="1:9" x14ac:dyDescent="0.25">
      <c r="A4" s="74" t="s">
        <v>7</v>
      </c>
      <c r="B4" s="73"/>
      <c r="C4" s="80" t="str">
        <f>'Stavební rozpočet'!C4</f>
        <v>D.1.1  Architektonicko-stavební řešení</v>
      </c>
      <c r="D4" s="73"/>
      <c r="E4" s="80" t="s">
        <v>11</v>
      </c>
      <c r="F4" s="80" t="str">
        <f>'Stavební rozpočet'!I4</f>
        <v>PROST Zlín - projekční kancelář</v>
      </c>
      <c r="G4" s="73"/>
      <c r="H4" s="80" t="s">
        <v>512</v>
      </c>
      <c r="I4" s="82" t="s">
        <v>55</v>
      </c>
    </row>
    <row r="5" spans="1:9" ht="15" customHeight="1" x14ac:dyDescent="0.25">
      <c r="A5" s="72"/>
      <c r="B5" s="73"/>
      <c r="C5" s="73"/>
      <c r="D5" s="73"/>
      <c r="E5" s="73"/>
      <c r="F5" s="73"/>
      <c r="G5" s="73"/>
      <c r="H5" s="73"/>
      <c r="I5" s="82"/>
    </row>
    <row r="6" spans="1:9" x14ac:dyDescent="0.25">
      <c r="A6" s="74" t="s">
        <v>13</v>
      </c>
      <c r="B6" s="73"/>
      <c r="C6" s="80" t="str">
        <f>'Stavební rozpočet'!C6</f>
        <v>parc.č. 1586/2, areál ZOO Zlín - Lešná</v>
      </c>
      <c r="D6" s="73"/>
      <c r="E6" s="80" t="s">
        <v>16</v>
      </c>
      <c r="F6" s="80" t="str">
        <f>'Stavební rozpočet'!I6</f>
        <v>bude určen výběrovým řízením</v>
      </c>
      <c r="G6" s="73"/>
      <c r="H6" s="80" t="s">
        <v>512</v>
      </c>
      <c r="I6" s="82" t="s">
        <v>55</v>
      </c>
    </row>
    <row r="7" spans="1:9" ht="15" customHeight="1" x14ac:dyDescent="0.25">
      <c r="A7" s="72"/>
      <c r="B7" s="73"/>
      <c r="C7" s="73"/>
      <c r="D7" s="73"/>
      <c r="E7" s="73"/>
      <c r="F7" s="73"/>
      <c r="G7" s="73"/>
      <c r="H7" s="73"/>
      <c r="I7" s="82"/>
    </row>
    <row r="8" spans="1:9" x14ac:dyDescent="0.25">
      <c r="A8" s="74" t="s">
        <v>9</v>
      </c>
      <c r="B8" s="73"/>
      <c r="C8" s="80" t="str">
        <f>'Stavební rozpočet'!G4</f>
        <v>10.03.2026</v>
      </c>
      <c r="D8" s="73"/>
      <c r="E8" s="80" t="s">
        <v>15</v>
      </c>
      <c r="F8" s="80" t="str">
        <f>'Stavební rozpočet'!G6</f>
        <v xml:space="preserve"> </v>
      </c>
      <c r="G8" s="73"/>
      <c r="H8" s="73" t="s">
        <v>514</v>
      </c>
      <c r="I8" s="83">
        <v>78</v>
      </c>
    </row>
    <row r="9" spans="1:9" x14ac:dyDescent="0.25">
      <c r="A9" s="72"/>
      <c r="B9" s="73"/>
      <c r="C9" s="73"/>
      <c r="D9" s="73"/>
      <c r="E9" s="73"/>
      <c r="F9" s="73"/>
      <c r="G9" s="73"/>
      <c r="H9" s="73"/>
      <c r="I9" s="82"/>
    </row>
    <row r="10" spans="1:9" x14ac:dyDescent="0.25">
      <c r="A10" s="74" t="s">
        <v>18</v>
      </c>
      <c r="B10" s="73"/>
      <c r="C10" s="80" t="str">
        <f>'Stavební rozpočet'!C8</f>
        <v>81245</v>
      </c>
      <c r="D10" s="73"/>
      <c r="E10" s="80" t="s">
        <v>22</v>
      </c>
      <c r="F10" s="80" t="str">
        <f>'Stavební rozpočet'!I8</f>
        <v>Tomáš Sýkora</v>
      </c>
      <c r="G10" s="73"/>
      <c r="H10" s="73" t="s">
        <v>515</v>
      </c>
      <c r="I10" s="86" t="str">
        <f>'Stavební rozpočet'!G8</f>
        <v>18.12.2025</v>
      </c>
    </row>
    <row r="11" spans="1:9" x14ac:dyDescent="0.25">
      <c r="A11" s="91"/>
      <c r="B11" s="84"/>
      <c r="C11" s="84"/>
      <c r="D11" s="84"/>
      <c r="E11" s="84"/>
      <c r="F11" s="84"/>
      <c r="G11" s="84"/>
      <c r="H11" s="84"/>
      <c r="I11" s="87"/>
    </row>
    <row r="13" spans="1:9" ht="15.75" x14ac:dyDescent="0.25">
      <c r="A13" s="153" t="s">
        <v>554</v>
      </c>
      <c r="B13" s="153"/>
      <c r="C13" s="153"/>
      <c r="D13" s="153"/>
      <c r="E13" s="153"/>
    </row>
    <row r="14" spans="1:9" x14ac:dyDescent="0.25">
      <c r="A14" s="154" t="s">
        <v>555</v>
      </c>
      <c r="B14" s="155"/>
      <c r="C14" s="155"/>
      <c r="D14" s="155"/>
      <c r="E14" s="156"/>
      <c r="F14" s="57" t="s">
        <v>556</v>
      </c>
      <c r="G14" s="57" t="s">
        <v>557</v>
      </c>
      <c r="H14" s="57" t="s">
        <v>558</v>
      </c>
      <c r="I14" s="57" t="s">
        <v>556</v>
      </c>
    </row>
    <row r="15" spans="1:9" x14ac:dyDescent="0.25">
      <c r="A15" s="157" t="s">
        <v>525</v>
      </c>
      <c r="B15" s="158"/>
      <c r="C15" s="158"/>
      <c r="D15" s="158"/>
      <c r="E15" s="159"/>
      <c r="F15" s="58">
        <v>0</v>
      </c>
      <c r="G15" s="59" t="s">
        <v>55</v>
      </c>
      <c r="H15" s="59" t="s">
        <v>55</v>
      </c>
      <c r="I15" s="58">
        <f>F15</f>
        <v>0</v>
      </c>
    </row>
    <row r="16" spans="1:9" x14ac:dyDescent="0.25">
      <c r="A16" s="157" t="s">
        <v>526</v>
      </c>
      <c r="B16" s="158"/>
      <c r="C16" s="158"/>
      <c r="D16" s="158"/>
      <c r="E16" s="159"/>
      <c r="F16" s="58">
        <v>0</v>
      </c>
      <c r="G16" s="59" t="s">
        <v>55</v>
      </c>
      <c r="H16" s="59" t="s">
        <v>55</v>
      </c>
      <c r="I16" s="58">
        <f>F16</f>
        <v>0</v>
      </c>
    </row>
    <row r="17" spans="1:9" x14ac:dyDescent="0.25">
      <c r="A17" s="160" t="s">
        <v>529</v>
      </c>
      <c r="B17" s="161"/>
      <c r="C17" s="161"/>
      <c r="D17" s="161"/>
      <c r="E17" s="162"/>
      <c r="F17" s="60">
        <v>0</v>
      </c>
      <c r="G17" s="61" t="s">
        <v>55</v>
      </c>
      <c r="H17" s="61" t="s">
        <v>55</v>
      </c>
      <c r="I17" s="60">
        <f>F17</f>
        <v>0</v>
      </c>
    </row>
    <row r="18" spans="1:9" x14ac:dyDescent="0.25">
      <c r="A18" s="163" t="s">
        <v>559</v>
      </c>
      <c r="B18" s="164"/>
      <c r="C18" s="164"/>
      <c r="D18" s="164"/>
      <c r="E18" s="165"/>
      <c r="F18" s="62" t="s">
        <v>55</v>
      </c>
      <c r="G18" s="63" t="s">
        <v>55</v>
      </c>
      <c r="H18" s="63" t="s">
        <v>55</v>
      </c>
      <c r="I18" s="64">
        <f>SUM(I15:I17)</f>
        <v>0</v>
      </c>
    </row>
    <row r="20" spans="1:9" x14ac:dyDescent="0.25">
      <c r="A20" s="154" t="s">
        <v>522</v>
      </c>
      <c r="B20" s="155"/>
      <c r="C20" s="155"/>
      <c r="D20" s="155"/>
      <c r="E20" s="156"/>
      <c r="F20" s="57" t="s">
        <v>556</v>
      </c>
      <c r="G20" s="57" t="s">
        <v>557</v>
      </c>
      <c r="H20" s="57" t="s">
        <v>558</v>
      </c>
      <c r="I20" s="57" t="s">
        <v>556</v>
      </c>
    </row>
    <row r="21" spans="1:9" x14ac:dyDescent="0.25">
      <c r="A21" s="157" t="s">
        <v>490</v>
      </c>
      <c r="B21" s="158"/>
      <c r="C21" s="158"/>
      <c r="D21" s="158"/>
      <c r="E21" s="159"/>
      <c r="F21" s="58">
        <v>0</v>
      </c>
      <c r="G21" s="59" t="s">
        <v>55</v>
      </c>
      <c r="H21" s="59" t="s">
        <v>55</v>
      </c>
      <c r="I21" s="58">
        <f t="shared" ref="I21:I26" si="0">F21</f>
        <v>0</v>
      </c>
    </row>
    <row r="22" spans="1:9" x14ac:dyDescent="0.25">
      <c r="A22" s="157" t="s">
        <v>527</v>
      </c>
      <c r="B22" s="158"/>
      <c r="C22" s="158"/>
      <c r="D22" s="158"/>
      <c r="E22" s="159"/>
      <c r="F22" s="58">
        <v>0</v>
      </c>
      <c r="G22" s="59" t="s">
        <v>55</v>
      </c>
      <c r="H22" s="59" t="s">
        <v>55</v>
      </c>
      <c r="I22" s="58">
        <f t="shared" si="0"/>
        <v>0</v>
      </c>
    </row>
    <row r="23" spans="1:9" x14ac:dyDescent="0.25">
      <c r="A23" s="157" t="s">
        <v>530</v>
      </c>
      <c r="B23" s="158"/>
      <c r="C23" s="158"/>
      <c r="D23" s="158"/>
      <c r="E23" s="159"/>
      <c r="F23" s="58">
        <v>0</v>
      </c>
      <c r="G23" s="59" t="s">
        <v>55</v>
      </c>
      <c r="H23" s="59" t="s">
        <v>55</v>
      </c>
      <c r="I23" s="58">
        <f t="shared" si="0"/>
        <v>0</v>
      </c>
    </row>
    <row r="24" spans="1:9" x14ac:dyDescent="0.25">
      <c r="A24" s="157" t="s">
        <v>504</v>
      </c>
      <c r="B24" s="158"/>
      <c r="C24" s="158"/>
      <c r="D24" s="158"/>
      <c r="E24" s="159"/>
      <c r="F24" s="58">
        <v>0</v>
      </c>
      <c r="G24" s="59" t="s">
        <v>55</v>
      </c>
      <c r="H24" s="59" t="s">
        <v>55</v>
      </c>
      <c r="I24" s="58">
        <f t="shared" si="0"/>
        <v>0</v>
      </c>
    </row>
    <row r="25" spans="1:9" x14ac:dyDescent="0.25">
      <c r="A25" s="157" t="s">
        <v>532</v>
      </c>
      <c r="B25" s="158"/>
      <c r="C25" s="158"/>
      <c r="D25" s="158"/>
      <c r="E25" s="159"/>
      <c r="F25" s="58">
        <v>0</v>
      </c>
      <c r="G25" s="59" t="s">
        <v>55</v>
      </c>
      <c r="H25" s="59" t="s">
        <v>55</v>
      </c>
      <c r="I25" s="58">
        <f t="shared" si="0"/>
        <v>0</v>
      </c>
    </row>
    <row r="26" spans="1:9" x14ac:dyDescent="0.25">
      <c r="A26" s="160" t="s">
        <v>533</v>
      </c>
      <c r="B26" s="161"/>
      <c r="C26" s="161"/>
      <c r="D26" s="161"/>
      <c r="E26" s="162"/>
      <c r="F26" s="60">
        <v>0</v>
      </c>
      <c r="G26" s="61" t="s">
        <v>55</v>
      </c>
      <c r="H26" s="61" t="s">
        <v>55</v>
      </c>
      <c r="I26" s="60">
        <f t="shared" si="0"/>
        <v>0</v>
      </c>
    </row>
    <row r="27" spans="1:9" x14ac:dyDescent="0.25">
      <c r="A27" s="163" t="s">
        <v>560</v>
      </c>
      <c r="B27" s="164"/>
      <c r="C27" s="164"/>
      <c r="D27" s="164"/>
      <c r="E27" s="165"/>
      <c r="F27" s="62" t="s">
        <v>55</v>
      </c>
      <c r="G27" s="63" t="s">
        <v>55</v>
      </c>
      <c r="H27" s="63" t="s">
        <v>55</v>
      </c>
      <c r="I27" s="64">
        <f>SUM(I21:I26)</f>
        <v>0</v>
      </c>
    </row>
    <row r="29" spans="1:9" ht="15.75" x14ac:dyDescent="0.25">
      <c r="A29" s="166" t="s">
        <v>561</v>
      </c>
      <c r="B29" s="167"/>
      <c r="C29" s="167"/>
      <c r="D29" s="167"/>
      <c r="E29" s="168"/>
      <c r="F29" s="169">
        <f>I18+I27</f>
        <v>0</v>
      </c>
      <c r="G29" s="170"/>
      <c r="H29" s="170"/>
      <c r="I29" s="171"/>
    </row>
    <row r="33" spans="1:9" ht="15.75" x14ac:dyDescent="0.25">
      <c r="A33" s="153" t="s">
        <v>562</v>
      </c>
      <c r="B33" s="153"/>
      <c r="C33" s="153"/>
      <c r="D33" s="153"/>
      <c r="E33" s="153"/>
    </row>
    <row r="34" spans="1:9" x14ac:dyDescent="0.25">
      <c r="A34" s="154" t="s">
        <v>563</v>
      </c>
      <c r="B34" s="155"/>
      <c r="C34" s="155"/>
      <c r="D34" s="155"/>
      <c r="E34" s="156"/>
      <c r="F34" s="57" t="s">
        <v>556</v>
      </c>
      <c r="G34" s="57" t="s">
        <v>557</v>
      </c>
      <c r="H34" s="57" t="s">
        <v>558</v>
      </c>
      <c r="I34" s="57" t="s">
        <v>556</v>
      </c>
    </row>
    <row r="35" spans="1:9" x14ac:dyDescent="0.25">
      <c r="A35" s="157" t="s">
        <v>481</v>
      </c>
      <c r="B35" s="158"/>
      <c r="C35" s="158"/>
      <c r="D35" s="158"/>
      <c r="E35" s="159"/>
      <c r="F35" s="58">
        <f>SUM('Stavební rozpočet'!BM12:BM442)</f>
        <v>0</v>
      </c>
      <c r="G35" s="59" t="s">
        <v>55</v>
      </c>
      <c r="H35" s="59" t="s">
        <v>55</v>
      </c>
      <c r="I35" s="58">
        <f t="shared" ref="I35:I44" si="1">F35</f>
        <v>0</v>
      </c>
    </row>
    <row r="36" spans="1:9" x14ac:dyDescent="0.25">
      <c r="A36" s="157" t="s">
        <v>564</v>
      </c>
      <c r="B36" s="158"/>
      <c r="C36" s="158"/>
      <c r="D36" s="158"/>
      <c r="E36" s="159"/>
      <c r="F36" s="58">
        <f>SUM('Stavební rozpočet'!BN12:BN442)</f>
        <v>0</v>
      </c>
      <c r="G36" s="59" t="s">
        <v>55</v>
      </c>
      <c r="H36" s="59" t="s">
        <v>55</v>
      </c>
      <c r="I36" s="58">
        <f t="shared" si="1"/>
        <v>0</v>
      </c>
    </row>
    <row r="37" spans="1:9" x14ac:dyDescent="0.25">
      <c r="A37" s="157" t="s">
        <v>490</v>
      </c>
      <c r="B37" s="158"/>
      <c r="C37" s="158"/>
      <c r="D37" s="158"/>
      <c r="E37" s="159"/>
      <c r="F37" s="58">
        <f>SUM('Stavební rozpočet'!BO12:BO442)</f>
        <v>0</v>
      </c>
      <c r="G37" s="59" t="s">
        <v>55</v>
      </c>
      <c r="H37" s="59" t="s">
        <v>55</v>
      </c>
      <c r="I37" s="58">
        <f t="shared" si="1"/>
        <v>0</v>
      </c>
    </row>
    <row r="38" spans="1:9" x14ac:dyDescent="0.25">
      <c r="A38" s="157" t="s">
        <v>565</v>
      </c>
      <c r="B38" s="158"/>
      <c r="C38" s="158"/>
      <c r="D38" s="158"/>
      <c r="E38" s="159"/>
      <c r="F38" s="58">
        <f>SUM('Stavební rozpočet'!BP12:BP442)</f>
        <v>0</v>
      </c>
      <c r="G38" s="59" t="s">
        <v>55</v>
      </c>
      <c r="H38" s="59" t="s">
        <v>55</v>
      </c>
      <c r="I38" s="58">
        <f t="shared" si="1"/>
        <v>0</v>
      </c>
    </row>
    <row r="39" spans="1:9" x14ac:dyDescent="0.25">
      <c r="A39" s="157" t="s">
        <v>566</v>
      </c>
      <c r="B39" s="158"/>
      <c r="C39" s="158"/>
      <c r="D39" s="158"/>
      <c r="E39" s="159"/>
      <c r="F39" s="58">
        <f>SUM('Stavební rozpočet'!BQ12:BQ442)</f>
        <v>0</v>
      </c>
      <c r="G39" s="59" t="s">
        <v>55</v>
      </c>
      <c r="H39" s="59" t="s">
        <v>55</v>
      </c>
      <c r="I39" s="58">
        <f t="shared" si="1"/>
        <v>0</v>
      </c>
    </row>
    <row r="40" spans="1:9" x14ac:dyDescent="0.25">
      <c r="A40" s="157" t="s">
        <v>530</v>
      </c>
      <c r="B40" s="158"/>
      <c r="C40" s="158"/>
      <c r="D40" s="158"/>
      <c r="E40" s="159"/>
      <c r="F40" s="58">
        <f>SUM('Stavební rozpočet'!BR12:BR442)</f>
        <v>0</v>
      </c>
      <c r="G40" s="59" t="s">
        <v>55</v>
      </c>
      <c r="H40" s="59" t="s">
        <v>55</v>
      </c>
      <c r="I40" s="58">
        <f t="shared" si="1"/>
        <v>0</v>
      </c>
    </row>
    <row r="41" spans="1:9" x14ac:dyDescent="0.25">
      <c r="A41" s="157" t="s">
        <v>504</v>
      </c>
      <c r="B41" s="158"/>
      <c r="C41" s="158"/>
      <c r="D41" s="158"/>
      <c r="E41" s="159"/>
      <c r="F41" s="58">
        <f>SUM('Stavební rozpočet'!BS12:BS442)</f>
        <v>0</v>
      </c>
      <c r="G41" s="59" t="s">
        <v>55</v>
      </c>
      <c r="H41" s="59" t="s">
        <v>55</v>
      </c>
      <c r="I41" s="58">
        <f t="shared" si="1"/>
        <v>0</v>
      </c>
    </row>
    <row r="42" spans="1:9" x14ac:dyDescent="0.25">
      <c r="A42" s="157" t="s">
        <v>567</v>
      </c>
      <c r="B42" s="158"/>
      <c r="C42" s="158"/>
      <c r="D42" s="158"/>
      <c r="E42" s="159"/>
      <c r="F42" s="58">
        <f>SUM('Stavební rozpočet'!BT12:BT442)</f>
        <v>0</v>
      </c>
      <c r="G42" s="59" t="s">
        <v>55</v>
      </c>
      <c r="H42" s="59" t="s">
        <v>55</v>
      </c>
      <c r="I42" s="58">
        <f t="shared" si="1"/>
        <v>0</v>
      </c>
    </row>
    <row r="43" spans="1:9" x14ac:dyDescent="0.25">
      <c r="A43" s="157" t="s">
        <v>568</v>
      </c>
      <c r="B43" s="158"/>
      <c r="C43" s="158"/>
      <c r="D43" s="158"/>
      <c r="E43" s="159"/>
      <c r="F43" s="58">
        <f>SUM('Stavební rozpočet'!BU12:BU442)</f>
        <v>0</v>
      </c>
      <c r="G43" s="59" t="s">
        <v>55</v>
      </c>
      <c r="H43" s="59" t="s">
        <v>55</v>
      </c>
      <c r="I43" s="58">
        <f t="shared" si="1"/>
        <v>0</v>
      </c>
    </row>
    <row r="44" spans="1:9" x14ac:dyDescent="0.25">
      <c r="A44" s="160" t="s">
        <v>569</v>
      </c>
      <c r="B44" s="161"/>
      <c r="C44" s="161"/>
      <c r="D44" s="161"/>
      <c r="E44" s="162"/>
      <c r="F44" s="60">
        <f>SUM('Stavební rozpočet'!BV12:BV442)</f>
        <v>0</v>
      </c>
      <c r="G44" s="61" t="s">
        <v>55</v>
      </c>
      <c r="H44" s="61" t="s">
        <v>55</v>
      </c>
      <c r="I44" s="60">
        <f t="shared" si="1"/>
        <v>0</v>
      </c>
    </row>
    <row r="45" spans="1:9" x14ac:dyDescent="0.25">
      <c r="A45" s="163" t="s">
        <v>570</v>
      </c>
      <c r="B45" s="164"/>
      <c r="C45" s="164"/>
      <c r="D45" s="164"/>
      <c r="E45" s="165"/>
      <c r="F45" s="62" t="s">
        <v>55</v>
      </c>
      <c r="G45" s="63" t="s">
        <v>55</v>
      </c>
      <c r="H45" s="63" t="s">
        <v>55</v>
      </c>
      <c r="I45" s="64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Tomáš Sýkora</cp:lastModifiedBy>
  <dcterms:created xsi:type="dcterms:W3CDTF">2021-06-10T20:06:38Z</dcterms:created>
  <dcterms:modified xsi:type="dcterms:W3CDTF">2026-02-11T11:37:07Z</dcterms:modified>
</cp:coreProperties>
</file>