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Výkresy\OBJEKTY - ruzne\2024-11-ZOO - Lešná-sloni-vyhlidka\Rozpočty\"/>
    </mc:Choice>
  </mc:AlternateContent>
  <xr:revisionPtr revIDLastSave="0" documentId="13_ncr:1_{FDFC8681-0D11-4EA6-8F58-D545AE0D9F64}" xr6:coauthVersionLast="47" xr6:coauthVersionMax="47" xr10:uidLastSave="{00000000-0000-0000-0000-000000000000}"/>
  <bookViews>
    <workbookView xWindow="-120" yWindow="-120" windowWidth="29040" windowHeight="16440" tabRatio="788" xr2:uid="{00000000-000D-0000-FFFF-FFFF00000000}"/>
  </bookViews>
  <sheets>
    <sheet name="Rekapitulace" sheetId="1" r:id="rId1"/>
    <sheet name="Kryci list D11" sheetId="5" r:id="rId2"/>
    <sheet name="Polozky D11" sheetId="6" r:id="rId3"/>
    <sheet name="Parametry D125" sheetId="7" r:id="rId4"/>
    <sheet name="Rekapitulace D125" sheetId="8" r:id="rId5"/>
    <sheet name="Polozky D125" sheetId="9" r:id="rId6"/>
  </sheets>
  <externalReferences>
    <externalReference r:id="rId7"/>
    <externalReference r:id="rId8"/>
  </externalReferences>
  <definedNames>
    <definedName name="CelkemObjekty" localSheetId="0">Rekapitulace!$F$39</definedName>
    <definedName name="CisloStavby" localSheetId="0">Rekapitulace!$D$5</definedName>
    <definedName name="dadresa" localSheetId="0">Rekapitulace!#REF!</definedName>
    <definedName name="DIČ" localSheetId="0">Rekapitulace!#REF!</definedName>
    <definedName name="dmisto" localSheetId="0">Rekapitulace!$D$10</definedName>
    <definedName name="Dodavka">[1]Rekapitulace!$G$13</definedName>
    <definedName name="dpsc" localSheetId="0">Rekapitulace!$C$10</definedName>
    <definedName name="HSV">[1]Rekapitulace!$E$13</definedName>
    <definedName name="HZS">[1]Rekapitulace!$I$13</definedName>
    <definedName name="IČO" localSheetId="0">Rekapitulace!$K$9</definedName>
    <definedName name="Mont">[1]Rekapitulace!$H$13</definedName>
    <definedName name="NazevObjektu" localSheetId="0">Rekapitulace!$C$36</definedName>
    <definedName name="NazevStavby" localSheetId="0">Rekapitulace!$E$5</definedName>
    <definedName name="Objednatel" localSheetId="0">Rekapitulace!$D$16</definedName>
    <definedName name="Objekt" localSheetId="0">Rekapitulace!$B$36</definedName>
    <definedName name="_xlnm.Print_Area" localSheetId="3">'Parametry D125'!$A$1:$B$33</definedName>
    <definedName name="_xlnm.Print_Area" localSheetId="5">'Polozky D125'!$A$1:$I$65</definedName>
    <definedName name="_xlnm.Print_Area" localSheetId="0">Rekapitulace!$B$1:$J$85</definedName>
    <definedName name="_xlnm.Print_Area" localSheetId="4">'Rekapitulace D125'!$A$1:$C$27</definedName>
    <definedName name="odic" localSheetId="0">Rekapitulace!$K$16</definedName>
    <definedName name="oico" localSheetId="0">Rekapitulace!$K$15</definedName>
    <definedName name="omisto" localSheetId="0">Rekapitulace!#REF!</definedName>
    <definedName name="onazev" localSheetId="0">Rekapitulace!$D$18</definedName>
    <definedName name="opsc" localSheetId="0">Rekapitulace!$C$18</definedName>
    <definedName name="PocetMJ">#REF!</definedName>
    <definedName name="PSV">[1]Rekapitulace!$F$13</definedName>
    <definedName name="SazbaDPH1" localSheetId="0">Rekapitulace!$D$25</definedName>
    <definedName name="SazbaDPH1">#REF!</definedName>
    <definedName name="SazbaDPH2" localSheetId="0">Rekapitulace!$D$27</definedName>
    <definedName name="SazbaDPH2">#REF!</definedName>
    <definedName name="SoucetDilu" localSheetId="0">Rekapitulace!#REF!</definedName>
    <definedName name="StavbaCelkem" localSheetId="0">Rekapitulace!$H$39</definedName>
    <definedName name="vorn_sum">[2]VORN!$I$45</definedName>
    <definedName name="VRN">[1]Rekapitulace!$H$26</definedName>
    <definedName name="Zhotovitel" localSheetId="0">Rekapitulace!$D$9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9" l="1"/>
  <c r="G3" i="9"/>
  <c r="I3" i="9" s="1"/>
  <c r="H3" i="9"/>
  <c r="E4" i="9"/>
  <c r="G4" i="9"/>
  <c r="I4" i="9" s="1"/>
  <c r="H4" i="9"/>
  <c r="E5" i="9"/>
  <c r="G5" i="9"/>
  <c r="H5" i="9"/>
  <c r="E6" i="9"/>
  <c r="G6" i="9"/>
  <c r="H6" i="9"/>
  <c r="E7" i="9"/>
  <c r="G7" i="9"/>
  <c r="I7" i="9" s="1"/>
  <c r="H7" i="9"/>
  <c r="E8" i="9"/>
  <c r="G8" i="9"/>
  <c r="H8" i="9"/>
  <c r="E9" i="9"/>
  <c r="G9" i="9"/>
  <c r="H9" i="9"/>
  <c r="E10" i="9"/>
  <c r="G10" i="9"/>
  <c r="I10" i="9" s="1"/>
  <c r="H10" i="9"/>
  <c r="E11" i="9"/>
  <c r="G11" i="9"/>
  <c r="H11" i="9"/>
  <c r="E12" i="9"/>
  <c r="G12" i="9"/>
  <c r="H12" i="9"/>
  <c r="E13" i="9"/>
  <c r="G13" i="9"/>
  <c r="H13" i="9"/>
  <c r="E14" i="9"/>
  <c r="G14" i="9"/>
  <c r="H14" i="9"/>
  <c r="E15" i="9"/>
  <c r="G15" i="9"/>
  <c r="H15" i="9"/>
  <c r="E16" i="9"/>
  <c r="G16" i="9"/>
  <c r="I16" i="9" s="1"/>
  <c r="H16" i="9"/>
  <c r="E17" i="9"/>
  <c r="G17" i="9"/>
  <c r="H17" i="9"/>
  <c r="E19" i="9"/>
  <c r="G19" i="9"/>
  <c r="H19" i="9"/>
  <c r="E21" i="9"/>
  <c r="G21" i="9"/>
  <c r="H21" i="9"/>
  <c r="E22" i="9"/>
  <c r="G22" i="9"/>
  <c r="H22" i="9"/>
  <c r="E23" i="9"/>
  <c r="G23" i="9"/>
  <c r="I23" i="9" s="1"/>
  <c r="H23" i="9"/>
  <c r="E24" i="9"/>
  <c r="G24" i="9"/>
  <c r="H24" i="9"/>
  <c r="E26" i="9"/>
  <c r="G26" i="9"/>
  <c r="H26" i="9"/>
  <c r="E27" i="9"/>
  <c r="G27" i="9"/>
  <c r="H27" i="9"/>
  <c r="E28" i="9"/>
  <c r="G28" i="9"/>
  <c r="I28" i="9" s="1"/>
  <c r="H28" i="9"/>
  <c r="E30" i="9"/>
  <c r="G30" i="9"/>
  <c r="H30" i="9"/>
  <c r="E31" i="9"/>
  <c r="G31" i="9"/>
  <c r="H31" i="9"/>
  <c r="E32" i="9"/>
  <c r="G32" i="9"/>
  <c r="I32" i="9" s="1"/>
  <c r="H32" i="9"/>
  <c r="E33" i="9"/>
  <c r="G33" i="9"/>
  <c r="H33" i="9"/>
  <c r="E34" i="9"/>
  <c r="G34" i="9"/>
  <c r="H34" i="9"/>
  <c r="E35" i="9"/>
  <c r="G35" i="9"/>
  <c r="H35" i="9"/>
  <c r="E36" i="9"/>
  <c r="G36" i="9"/>
  <c r="I36" i="9" s="1"/>
  <c r="H36" i="9"/>
  <c r="E37" i="9"/>
  <c r="G37" i="9"/>
  <c r="H37" i="9"/>
  <c r="E38" i="9"/>
  <c r="G38" i="9"/>
  <c r="I38" i="9" s="1"/>
  <c r="H38" i="9"/>
  <c r="E40" i="9"/>
  <c r="G40" i="9"/>
  <c r="H40" i="9"/>
  <c r="E41" i="9"/>
  <c r="G41" i="9"/>
  <c r="I41" i="9" s="1"/>
  <c r="H41" i="9"/>
  <c r="E42" i="9"/>
  <c r="G42" i="9"/>
  <c r="I42" i="9" s="1"/>
  <c r="H42" i="9"/>
  <c r="E44" i="9"/>
  <c r="G44" i="9"/>
  <c r="I44" i="9" s="1"/>
  <c r="H44" i="9"/>
  <c r="E46" i="9"/>
  <c r="G46" i="9"/>
  <c r="I46" i="9" s="1"/>
  <c r="H46" i="9"/>
  <c r="E48" i="9"/>
  <c r="G48" i="9"/>
  <c r="I48" i="9" s="1"/>
  <c r="H48" i="9"/>
  <c r="E50" i="9"/>
  <c r="G50" i="9"/>
  <c r="I50" i="9" s="1"/>
  <c r="H50" i="9"/>
  <c r="E53" i="9"/>
  <c r="G53" i="9"/>
  <c r="I53" i="9" s="1"/>
  <c r="H53" i="9"/>
  <c r="H54" i="9"/>
  <c r="E59" i="9"/>
  <c r="I59" i="9" s="1"/>
  <c r="G59" i="9"/>
  <c r="H59" i="9"/>
  <c r="E61" i="9"/>
  <c r="G61" i="9"/>
  <c r="H61" i="9"/>
  <c r="E63" i="9"/>
  <c r="E64" i="9" s="1"/>
  <c r="G63" i="9"/>
  <c r="H63" i="9"/>
  <c r="G64" i="9"/>
  <c r="B3" i="8"/>
  <c r="B4" i="8" s="1"/>
  <c r="C9" i="8"/>
  <c r="B26" i="8"/>
  <c r="C26" i="8" s="1"/>
  <c r="C10" i="8" l="1"/>
  <c r="I63" i="9"/>
  <c r="I61" i="9"/>
  <c r="I40" i="9"/>
  <c r="I37" i="9"/>
  <c r="I35" i="9"/>
  <c r="I33" i="9"/>
  <c r="I34" i="9"/>
  <c r="I31" i="9"/>
  <c r="I30" i="9"/>
  <c r="I27" i="9"/>
  <c r="I26" i="9"/>
  <c r="I24" i="9"/>
  <c r="I22" i="9"/>
  <c r="I21" i="9"/>
  <c r="I19" i="9"/>
  <c r="L1" i="9"/>
  <c r="E54" i="9" s="1"/>
  <c r="E55" i="9" s="1"/>
  <c r="C5" i="8" s="1"/>
  <c r="I17" i="9"/>
  <c r="I15" i="9"/>
  <c r="I14" i="9"/>
  <c r="I8" i="9"/>
  <c r="I13" i="9"/>
  <c r="I12" i="9"/>
  <c r="I11" i="9"/>
  <c r="I9" i="9"/>
  <c r="I6" i="9"/>
  <c r="I5" i="9"/>
  <c r="I64" i="9"/>
  <c r="C11" i="8"/>
  <c r="G55" i="9"/>
  <c r="C6" i="8" s="1"/>
  <c r="B7" i="8"/>
  <c r="C4" i="8"/>
  <c r="I54" i="9" l="1"/>
  <c r="I55" i="9" s="1"/>
  <c r="C8" i="8"/>
  <c r="C7" i="8"/>
  <c r="B12" i="8"/>
  <c r="C12" i="8" l="1"/>
  <c r="C19" i="8" s="1"/>
  <c r="C15" i="8"/>
  <c r="AS1" i="6"/>
  <c r="AT1" i="6"/>
  <c r="AU1" i="6"/>
  <c r="J13" i="6"/>
  <c r="L13" i="6"/>
  <c r="Z13" i="6"/>
  <c r="AC13" i="6"/>
  <c r="AD13" i="6"/>
  <c r="AE13" i="6"/>
  <c r="AF13" i="6"/>
  <c r="AG13" i="6"/>
  <c r="AH13" i="6"/>
  <c r="AJ13" i="6"/>
  <c r="AK13" i="6"/>
  <c r="AT12" i="6" s="1"/>
  <c r="AL13" i="6"/>
  <c r="AO13" i="6"/>
  <c r="H13" i="6" s="1"/>
  <c r="AP13" i="6"/>
  <c r="AX13" i="6" s="1"/>
  <c r="AW13" i="6"/>
  <c r="BD13" i="6"/>
  <c r="BF13" i="6"/>
  <c r="BH13" i="6"/>
  <c r="AB13" i="6" s="1"/>
  <c r="BI13" i="6"/>
  <c r="BJ13" i="6"/>
  <c r="J16" i="6"/>
  <c r="L16" i="6"/>
  <c r="Z16" i="6"/>
  <c r="AD16" i="6"/>
  <c r="AE16" i="6"/>
  <c r="AF16" i="6"/>
  <c r="AG16" i="6"/>
  <c r="AH16" i="6"/>
  <c r="AJ16" i="6"/>
  <c r="AS12" i="6" s="1"/>
  <c r="AK16" i="6"/>
  <c r="AL16" i="6"/>
  <c r="AO16" i="6"/>
  <c r="AW16" i="6" s="1"/>
  <c r="AP16" i="6"/>
  <c r="I16" i="6" s="1"/>
  <c r="BD16" i="6"/>
  <c r="BH16" i="6"/>
  <c r="AB16" i="6" s="1"/>
  <c r="BI16" i="6"/>
  <c r="AC16" i="6" s="1"/>
  <c r="BJ16" i="6"/>
  <c r="J20" i="6"/>
  <c r="L20" i="6"/>
  <c r="Z20" i="6"/>
  <c r="AD20" i="6"/>
  <c r="AE20" i="6"/>
  <c r="AF20" i="6"/>
  <c r="AG20" i="6"/>
  <c r="AH20" i="6"/>
  <c r="AJ20" i="6"/>
  <c r="AK20" i="6"/>
  <c r="AL20" i="6"/>
  <c r="AO20" i="6"/>
  <c r="H20" i="6" s="1"/>
  <c r="AP20" i="6"/>
  <c r="I20" i="6" s="1"/>
  <c r="AW20" i="6"/>
  <c r="BD20" i="6"/>
  <c r="BF20" i="6"/>
  <c r="BH20" i="6"/>
  <c r="AB20" i="6" s="1"/>
  <c r="BJ20" i="6"/>
  <c r="J24" i="6"/>
  <c r="L24" i="6"/>
  <c r="Z24" i="6"/>
  <c r="AD24" i="6"/>
  <c r="AE24" i="6"/>
  <c r="AF24" i="6"/>
  <c r="AG24" i="6"/>
  <c r="AH24" i="6"/>
  <c r="AJ24" i="6"/>
  <c r="AK24" i="6"/>
  <c r="AL24" i="6"/>
  <c r="AO24" i="6"/>
  <c r="H24" i="6" s="1"/>
  <c r="AP24" i="6"/>
  <c r="AX24" i="6" s="1"/>
  <c r="AW24" i="6"/>
  <c r="AV24" i="6" s="1"/>
  <c r="BD24" i="6"/>
  <c r="BF24" i="6"/>
  <c r="BH24" i="6"/>
  <c r="AB24" i="6" s="1"/>
  <c r="BI24" i="6"/>
  <c r="AC24" i="6" s="1"/>
  <c r="BJ24" i="6"/>
  <c r="J28" i="6"/>
  <c r="AL28" i="6" s="1"/>
  <c r="L28" i="6"/>
  <c r="BF28" i="6" s="1"/>
  <c r="Z28" i="6"/>
  <c r="AD28" i="6"/>
  <c r="AE28" i="6"/>
  <c r="AF28" i="6"/>
  <c r="AG28" i="6"/>
  <c r="AH28" i="6"/>
  <c r="AJ28" i="6"/>
  <c r="AK28" i="6"/>
  <c r="AO28" i="6"/>
  <c r="H28" i="6" s="1"/>
  <c r="AP28" i="6"/>
  <c r="I28" i="6" s="1"/>
  <c r="AW28" i="6"/>
  <c r="BD28" i="6"/>
  <c r="BH28" i="6"/>
  <c r="AB28" i="6" s="1"/>
  <c r="BJ28" i="6"/>
  <c r="J31" i="6"/>
  <c r="AL31" i="6" s="1"/>
  <c r="L31" i="6"/>
  <c r="Z31" i="6"/>
  <c r="AD31" i="6"/>
  <c r="AE31" i="6"/>
  <c r="AF31" i="6"/>
  <c r="AG31" i="6"/>
  <c r="AH31" i="6"/>
  <c r="AJ31" i="6"/>
  <c r="AK31" i="6"/>
  <c r="AO31" i="6"/>
  <c r="H31" i="6" s="1"/>
  <c r="AP31" i="6"/>
  <c r="AX31" i="6" s="1"/>
  <c r="BD31" i="6"/>
  <c r="BF31" i="6"/>
  <c r="BH31" i="6"/>
  <c r="AB31" i="6" s="1"/>
  <c r="BJ31" i="6"/>
  <c r="J34" i="6"/>
  <c r="AL34" i="6" s="1"/>
  <c r="L34" i="6"/>
  <c r="BF34" i="6" s="1"/>
  <c r="Z34" i="6"/>
  <c r="AD34" i="6"/>
  <c r="AE34" i="6"/>
  <c r="AF34" i="6"/>
  <c r="AG34" i="6"/>
  <c r="AH34" i="6"/>
  <c r="AJ34" i="6"/>
  <c r="AK34" i="6"/>
  <c r="AO34" i="6"/>
  <c r="AP34" i="6"/>
  <c r="I34" i="6" s="1"/>
  <c r="AX34" i="6"/>
  <c r="BD34" i="6"/>
  <c r="BI34" i="6"/>
  <c r="AC34" i="6" s="1"/>
  <c r="BJ34" i="6"/>
  <c r="H36" i="6"/>
  <c r="J36" i="6"/>
  <c r="L36" i="6"/>
  <c r="Z36" i="6"/>
  <c r="AB36" i="6"/>
  <c r="AD36" i="6"/>
  <c r="AE36" i="6"/>
  <c r="AF36" i="6"/>
  <c r="AG36" i="6"/>
  <c r="AH36" i="6"/>
  <c r="AJ36" i="6"/>
  <c r="AK36" i="6"/>
  <c r="AL36" i="6"/>
  <c r="AO36" i="6"/>
  <c r="AP36" i="6"/>
  <c r="AW36" i="6"/>
  <c r="BD36" i="6"/>
  <c r="BF36" i="6"/>
  <c r="BH36" i="6"/>
  <c r="BJ36" i="6"/>
  <c r="J43" i="6"/>
  <c r="AL43" i="6" s="1"/>
  <c r="L43" i="6"/>
  <c r="Z43" i="6"/>
  <c r="AD43" i="6"/>
  <c r="AE43" i="6"/>
  <c r="AF43" i="6"/>
  <c r="AG43" i="6"/>
  <c r="AH43" i="6"/>
  <c r="AJ43" i="6"/>
  <c r="AK43" i="6"/>
  <c r="AO43" i="6"/>
  <c r="AP43" i="6"/>
  <c r="I43" i="6" s="1"/>
  <c r="BD43" i="6"/>
  <c r="BF43" i="6"/>
  <c r="BI43" i="6"/>
  <c r="AC43" i="6" s="1"/>
  <c r="BJ43" i="6"/>
  <c r="J44" i="6"/>
  <c r="AL44" i="6" s="1"/>
  <c r="L44" i="6"/>
  <c r="Z44" i="6"/>
  <c r="AD44" i="6"/>
  <c r="AE44" i="6"/>
  <c r="AF44" i="6"/>
  <c r="AG44" i="6"/>
  <c r="AH44" i="6"/>
  <c r="AJ44" i="6"/>
  <c r="AK44" i="6"/>
  <c r="AO44" i="6"/>
  <c r="BH44" i="6" s="1"/>
  <c r="AB44" i="6" s="1"/>
  <c r="AP44" i="6"/>
  <c r="BD44" i="6"/>
  <c r="BF44" i="6"/>
  <c r="BJ44" i="6"/>
  <c r="J51" i="6"/>
  <c r="AU51" i="6"/>
  <c r="J52" i="6"/>
  <c r="L52" i="6"/>
  <c r="BF52" i="6" s="1"/>
  <c r="Z52" i="6"/>
  <c r="AD52" i="6"/>
  <c r="AE52" i="6"/>
  <c r="AF52" i="6"/>
  <c r="AG52" i="6"/>
  <c r="AH52" i="6"/>
  <c r="AJ52" i="6"/>
  <c r="AS51" i="6" s="1"/>
  <c r="AK52" i="6"/>
  <c r="AT51" i="6" s="1"/>
  <c r="AL52" i="6"/>
  <c r="AO52" i="6"/>
  <c r="AP52" i="6"/>
  <c r="I52" i="6" s="1"/>
  <c r="I51" i="6" s="1"/>
  <c r="AX52" i="6"/>
  <c r="BD52" i="6"/>
  <c r="BI52" i="6"/>
  <c r="AC52" i="6" s="1"/>
  <c r="BJ52" i="6"/>
  <c r="AT55" i="6"/>
  <c r="J56" i="6"/>
  <c r="L56" i="6"/>
  <c r="L55" i="6" s="1"/>
  <c r="Z56" i="6"/>
  <c r="AC56" i="6"/>
  <c r="AD56" i="6"/>
  <c r="AE56" i="6"/>
  <c r="AF56" i="6"/>
  <c r="AG56" i="6"/>
  <c r="AH56" i="6"/>
  <c r="AJ56" i="6"/>
  <c r="AS55" i="6" s="1"/>
  <c r="AK56" i="6"/>
  <c r="AO56" i="6"/>
  <c r="AP56" i="6"/>
  <c r="I56" i="6" s="1"/>
  <c r="I55" i="6" s="1"/>
  <c r="AX56" i="6"/>
  <c r="BD56" i="6"/>
  <c r="BF56" i="6"/>
  <c r="BI56" i="6"/>
  <c r="BJ56" i="6"/>
  <c r="J63" i="6"/>
  <c r="L63" i="6"/>
  <c r="Z63" i="6"/>
  <c r="AD63" i="6"/>
  <c r="AE63" i="6"/>
  <c r="AF63" i="6"/>
  <c r="AG63" i="6"/>
  <c r="AH63" i="6"/>
  <c r="AJ63" i="6"/>
  <c r="AK63" i="6"/>
  <c r="AL63" i="6"/>
  <c r="AO63" i="6"/>
  <c r="H63" i="6" s="1"/>
  <c r="AP63" i="6"/>
  <c r="I63" i="6" s="1"/>
  <c r="AW63" i="6"/>
  <c r="BC63" i="6" s="1"/>
  <c r="AX63" i="6"/>
  <c r="BD63" i="6"/>
  <c r="BF63" i="6"/>
  <c r="BH63" i="6"/>
  <c r="AB63" i="6" s="1"/>
  <c r="BI63" i="6"/>
  <c r="AC63" i="6" s="1"/>
  <c r="BJ63" i="6"/>
  <c r="J68" i="6"/>
  <c r="AL68" i="6" s="1"/>
  <c r="L68" i="6"/>
  <c r="BF68" i="6" s="1"/>
  <c r="Z68" i="6"/>
  <c r="AD68" i="6"/>
  <c r="AE68" i="6"/>
  <c r="AF68" i="6"/>
  <c r="AG68" i="6"/>
  <c r="AH68" i="6"/>
  <c r="AJ68" i="6"/>
  <c r="AK68" i="6"/>
  <c r="AO68" i="6"/>
  <c r="AW68" i="6" s="1"/>
  <c r="AP68" i="6"/>
  <c r="I68" i="6" s="1"/>
  <c r="AX68" i="6"/>
  <c r="BC68" i="6" s="1"/>
  <c r="BD68" i="6"/>
  <c r="BH68" i="6"/>
  <c r="AB68" i="6" s="1"/>
  <c r="BI68" i="6"/>
  <c r="AC68" i="6" s="1"/>
  <c r="BJ68" i="6"/>
  <c r="J72" i="6"/>
  <c r="L72" i="6"/>
  <c r="Z72" i="6"/>
  <c r="AD72" i="6"/>
  <c r="AE72" i="6"/>
  <c r="AF72" i="6"/>
  <c r="AG72" i="6"/>
  <c r="AH72" i="6"/>
  <c r="AJ72" i="6"/>
  <c r="AK72" i="6"/>
  <c r="AL72" i="6"/>
  <c r="AO72" i="6"/>
  <c r="H72" i="6" s="1"/>
  <c r="AP72" i="6"/>
  <c r="I72" i="6" s="1"/>
  <c r="AW72" i="6"/>
  <c r="BD72" i="6"/>
  <c r="BF72" i="6"/>
  <c r="BH72" i="6"/>
  <c r="AB72" i="6" s="1"/>
  <c r="BJ72" i="6"/>
  <c r="J76" i="6"/>
  <c r="AL76" i="6" s="1"/>
  <c r="L76" i="6"/>
  <c r="BF76" i="6" s="1"/>
  <c r="Z76" i="6"/>
  <c r="AD76" i="6"/>
  <c r="AE76" i="6"/>
  <c r="AF76" i="6"/>
  <c r="AG76" i="6"/>
  <c r="AH76" i="6"/>
  <c r="AJ76" i="6"/>
  <c r="AK76" i="6"/>
  <c r="AO76" i="6"/>
  <c r="AW76" i="6" s="1"/>
  <c r="AP76" i="6"/>
  <c r="I76" i="6" s="1"/>
  <c r="BD76" i="6"/>
  <c r="BH76" i="6"/>
  <c r="AB76" i="6" s="1"/>
  <c r="BJ76" i="6"/>
  <c r="J81" i="6"/>
  <c r="L81" i="6"/>
  <c r="Z81" i="6"/>
  <c r="AD81" i="6"/>
  <c r="AE81" i="6"/>
  <c r="AF81" i="6"/>
  <c r="AG81" i="6"/>
  <c r="AH81" i="6"/>
  <c r="AJ81" i="6"/>
  <c r="AK81" i="6"/>
  <c r="AL81" i="6"/>
  <c r="AO81" i="6"/>
  <c r="H81" i="6" s="1"/>
  <c r="AP81" i="6"/>
  <c r="I81" i="6" s="1"/>
  <c r="AW81" i="6"/>
  <c r="AX81" i="6"/>
  <c r="BD81" i="6"/>
  <c r="BF81" i="6"/>
  <c r="BH81" i="6"/>
  <c r="AB81" i="6" s="1"/>
  <c r="BI81" i="6"/>
  <c r="AC81" i="6" s="1"/>
  <c r="BJ81" i="6"/>
  <c r="J83" i="6"/>
  <c r="AL83" i="6" s="1"/>
  <c r="L83" i="6"/>
  <c r="BF83" i="6" s="1"/>
  <c r="Z83" i="6"/>
  <c r="AD83" i="6"/>
  <c r="AE83" i="6"/>
  <c r="AF83" i="6"/>
  <c r="AG83" i="6"/>
  <c r="AH83" i="6"/>
  <c r="AJ83" i="6"/>
  <c r="AK83" i="6"/>
  <c r="AO83" i="6"/>
  <c r="AW83" i="6" s="1"/>
  <c r="AP83" i="6"/>
  <c r="I83" i="6" s="1"/>
  <c r="AX83" i="6"/>
  <c r="BC83" i="6" s="1"/>
  <c r="BD83" i="6"/>
  <c r="BH83" i="6"/>
  <c r="AB83" i="6" s="1"/>
  <c r="BI83" i="6"/>
  <c r="AC83" i="6" s="1"/>
  <c r="BJ83" i="6"/>
  <c r="J87" i="6"/>
  <c r="L87" i="6"/>
  <c r="Z87" i="6"/>
  <c r="AD87" i="6"/>
  <c r="AE87" i="6"/>
  <c r="AF87" i="6"/>
  <c r="AG87" i="6"/>
  <c r="AH87" i="6"/>
  <c r="AJ87" i="6"/>
  <c r="AK87" i="6"/>
  <c r="AL87" i="6"/>
  <c r="AO87" i="6"/>
  <c r="H87" i="6" s="1"/>
  <c r="AP87" i="6"/>
  <c r="I87" i="6" s="1"/>
  <c r="AW87" i="6"/>
  <c r="AX87" i="6"/>
  <c r="BD87" i="6"/>
  <c r="BF87" i="6"/>
  <c r="BH87" i="6"/>
  <c r="AB87" i="6" s="1"/>
  <c r="BI87" i="6"/>
  <c r="AC87" i="6" s="1"/>
  <c r="BJ87" i="6"/>
  <c r="J90" i="6"/>
  <c r="L90" i="6"/>
  <c r="BF90" i="6" s="1"/>
  <c r="Z90" i="6"/>
  <c r="AD90" i="6"/>
  <c r="AE90" i="6"/>
  <c r="AF90" i="6"/>
  <c r="AG90" i="6"/>
  <c r="AH90" i="6"/>
  <c r="AJ90" i="6"/>
  <c r="AK90" i="6"/>
  <c r="AL90" i="6"/>
  <c r="AO90" i="6"/>
  <c r="AW90" i="6" s="1"/>
  <c r="AP90" i="6"/>
  <c r="I90" i="6" s="1"/>
  <c r="BD90" i="6"/>
  <c r="BI90" i="6"/>
  <c r="AC90" i="6" s="1"/>
  <c r="BJ90" i="6"/>
  <c r="J95" i="6"/>
  <c r="L95" i="6"/>
  <c r="Z95" i="6"/>
  <c r="AD95" i="6"/>
  <c r="AE95" i="6"/>
  <c r="AF95" i="6"/>
  <c r="AG95" i="6"/>
  <c r="AH95" i="6"/>
  <c r="AJ95" i="6"/>
  <c r="AK95" i="6"/>
  <c r="AL95" i="6"/>
  <c r="AO95" i="6"/>
  <c r="H95" i="6" s="1"/>
  <c r="AP95" i="6"/>
  <c r="AX95" i="6" s="1"/>
  <c r="AW95" i="6"/>
  <c r="BD95" i="6"/>
  <c r="BF95" i="6"/>
  <c r="BH95" i="6"/>
  <c r="AB95" i="6" s="1"/>
  <c r="BJ95" i="6"/>
  <c r="J101" i="6"/>
  <c r="L101" i="6"/>
  <c r="BF101" i="6" s="1"/>
  <c r="Z101" i="6"/>
  <c r="AD101" i="6"/>
  <c r="AE101" i="6"/>
  <c r="AF101" i="6"/>
  <c r="AG101" i="6"/>
  <c r="AH101" i="6"/>
  <c r="AJ101" i="6"/>
  <c r="AK101" i="6"/>
  <c r="AL101" i="6"/>
  <c r="AO101" i="6"/>
  <c r="AP101" i="6"/>
  <c r="I101" i="6" s="1"/>
  <c r="AX101" i="6"/>
  <c r="BD101" i="6"/>
  <c r="BJ101" i="6"/>
  <c r="I106" i="6"/>
  <c r="J106" i="6"/>
  <c r="L106" i="6"/>
  <c r="Z106" i="6"/>
  <c r="AC106" i="6"/>
  <c r="AD106" i="6"/>
  <c r="AE106" i="6"/>
  <c r="AF106" i="6"/>
  <c r="AG106" i="6"/>
  <c r="AH106" i="6"/>
  <c r="AJ106" i="6"/>
  <c r="AK106" i="6"/>
  <c r="AL106" i="6"/>
  <c r="AO106" i="6"/>
  <c r="H106" i="6" s="1"/>
  <c r="AP106" i="6"/>
  <c r="AX106" i="6" s="1"/>
  <c r="BD106" i="6"/>
  <c r="BF106" i="6"/>
  <c r="BI106" i="6"/>
  <c r="BJ106" i="6"/>
  <c r="J111" i="6"/>
  <c r="L111" i="6"/>
  <c r="BF111" i="6" s="1"/>
  <c r="Z111" i="6"/>
  <c r="AD111" i="6"/>
  <c r="AE111" i="6"/>
  <c r="AF111" i="6"/>
  <c r="AG111" i="6"/>
  <c r="AH111" i="6"/>
  <c r="AJ111" i="6"/>
  <c r="AK111" i="6"/>
  <c r="AL111" i="6"/>
  <c r="AO111" i="6"/>
  <c r="AW111" i="6" s="1"/>
  <c r="AP111" i="6"/>
  <c r="BD111" i="6"/>
  <c r="BJ111" i="6"/>
  <c r="J113" i="6"/>
  <c r="L113" i="6"/>
  <c r="Z113" i="6"/>
  <c r="AC113" i="6"/>
  <c r="AD113" i="6"/>
  <c r="AE113" i="6"/>
  <c r="AF113" i="6"/>
  <c r="AG113" i="6"/>
  <c r="AH113" i="6"/>
  <c r="AJ113" i="6"/>
  <c r="AK113" i="6"/>
  <c r="AL113" i="6"/>
  <c r="AO113" i="6"/>
  <c r="H113" i="6" s="1"/>
  <c r="AP113" i="6"/>
  <c r="AX113" i="6" s="1"/>
  <c r="AW113" i="6"/>
  <c r="BC113" i="6" s="1"/>
  <c r="BD113" i="6"/>
  <c r="BF113" i="6"/>
  <c r="BH113" i="6"/>
  <c r="AB113" i="6" s="1"/>
  <c r="BI113" i="6"/>
  <c r="BJ113" i="6"/>
  <c r="L115" i="6"/>
  <c r="J116" i="6"/>
  <c r="L116" i="6"/>
  <c r="Z116" i="6"/>
  <c r="AD116" i="6"/>
  <c r="AE116" i="6"/>
  <c r="AF116" i="6"/>
  <c r="AG116" i="6"/>
  <c r="AH116" i="6"/>
  <c r="AJ116" i="6"/>
  <c r="AK116" i="6"/>
  <c r="AO116" i="6"/>
  <c r="BH116" i="6" s="1"/>
  <c r="AB116" i="6" s="1"/>
  <c r="AP116" i="6"/>
  <c r="BD116" i="6"/>
  <c r="BF116" i="6"/>
  <c r="BJ116" i="6"/>
  <c r="J118" i="6"/>
  <c r="AL118" i="6" s="1"/>
  <c r="L118" i="6"/>
  <c r="Z118" i="6"/>
  <c r="AD118" i="6"/>
  <c r="AE118" i="6"/>
  <c r="AF118" i="6"/>
  <c r="AG118" i="6"/>
  <c r="AH118" i="6"/>
  <c r="AJ118" i="6"/>
  <c r="AK118" i="6"/>
  <c r="AO118" i="6"/>
  <c r="H118" i="6" s="1"/>
  <c r="AP118" i="6"/>
  <c r="I118" i="6" s="1"/>
  <c r="AX118" i="6"/>
  <c r="BD118" i="6"/>
  <c r="BF118" i="6"/>
  <c r="BI118" i="6"/>
  <c r="AC118" i="6" s="1"/>
  <c r="BJ118" i="6"/>
  <c r="H120" i="6"/>
  <c r="J120" i="6"/>
  <c r="L120" i="6"/>
  <c r="Z120" i="6"/>
  <c r="AD120" i="6"/>
  <c r="AE120" i="6"/>
  <c r="AF120" i="6"/>
  <c r="AG120" i="6"/>
  <c r="AH120" i="6"/>
  <c r="AJ120" i="6"/>
  <c r="AK120" i="6"/>
  <c r="AL120" i="6"/>
  <c r="AO120" i="6"/>
  <c r="AP120" i="6"/>
  <c r="AX120" i="6" s="1"/>
  <c r="AV120" i="6"/>
  <c r="AW120" i="6"/>
  <c r="BC120" i="6" s="1"/>
  <c r="BD120" i="6"/>
  <c r="BF120" i="6"/>
  <c r="BH120" i="6"/>
  <c r="AB120" i="6" s="1"/>
  <c r="BI120" i="6"/>
  <c r="AC120" i="6" s="1"/>
  <c r="BJ120" i="6"/>
  <c r="J123" i="6"/>
  <c r="L123" i="6"/>
  <c r="Z123" i="6"/>
  <c r="AD123" i="6"/>
  <c r="AE123" i="6"/>
  <c r="AF123" i="6"/>
  <c r="AG123" i="6"/>
  <c r="AH123" i="6"/>
  <c r="AJ123" i="6"/>
  <c r="AK123" i="6"/>
  <c r="AL123" i="6"/>
  <c r="AO123" i="6"/>
  <c r="H123" i="6" s="1"/>
  <c r="AP123" i="6"/>
  <c r="I123" i="6" s="1"/>
  <c r="AW123" i="6"/>
  <c r="AX123" i="6"/>
  <c r="BD123" i="6"/>
  <c r="BF123" i="6"/>
  <c r="BH123" i="6"/>
  <c r="AB123" i="6" s="1"/>
  <c r="BI123" i="6"/>
  <c r="AC123" i="6" s="1"/>
  <c r="BJ123" i="6"/>
  <c r="I126" i="6"/>
  <c r="I125" i="6" s="1"/>
  <c r="J126" i="6"/>
  <c r="J125" i="6" s="1"/>
  <c r="L126" i="6"/>
  <c r="L125" i="6" s="1"/>
  <c r="Z126" i="6"/>
  <c r="AD126" i="6"/>
  <c r="AE126" i="6"/>
  <c r="AF126" i="6"/>
  <c r="AG126" i="6"/>
  <c r="AH126" i="6"/>
  <c r="AJ126" i="6"/>
  <c r="AS125" i="6" s="1"/>
  <c r="AK126" i="6"/>
  <c r="AT125" i="6" s="1"/>
  <c r="AL126" i="6"/>
  <c r="AU125" i="6" s="1"/>
  <c r="AO126" i="6"/>
  <c r="H126" i="6" s="1"/>
  <c r="H125" i="6" s="1"/>
  <c r="AP126" i="6"/>
  <c r="AW126" i="6"/>
  <c r="BC126" i="6" s="1"/>
  <c r="AX126" i="6"/>
  <c r="BD126" i="6"/>
  <c r="BF126" i="6"/>
  <c r="BH126" i="6"/>
  <c r="AB126" i="6" s="1"/>
  <c r="BI126" i="6"/>
  <c r="AC126" i="6" s="1"/>
  <c r="BJ126" i="6"/>
  <c r="L128" i="6"/>
  <c r="H129" i="6"/>
  <c r="H128" i="6" s="1"/>
  <c r="J129" i="6"/>
  <c r="J128" i="6" s="1"/>
  <c r="L129" i="6"/>
  <c r="Z129" i="6"/>
  <c r="AD129" i="6"/>
  <c r="AE129" i="6"/>
  <c r="AF129" i="6"/>
  <c r="AG129" i="6"/>
  <c r="AH129" i="6"/>
  <c r="AJ129" i="6"/>
  <c r="AS128" i="6" s="1"/>
  <c r="AK129" i="6"/>
  <c r="AT128" i="6" s="1"/>
  <c r="AL129" i="6"/>
  <c r="AU128" i="6" s="1"/>
  <c r="AO129" i="6"/>
  <c r="AP129" i="6"/>
  <c r="AX129" i="6" s="1"/>
  <c r="AW129" i="6"/>
  <c r="AV129" i="6" s="1"/>
  <c r="BD129" i="6"/>
  <c r="BF129" i="6"/>
  <c r="BH129" i="6"/>
  <c r="AB129" i="6" s="1"/>
  <c r="BJ129" i="6"/>
  <c r="J132" i="6"/>
  <c r="L132" i="6"/>
  <c r="Z132" i="6"/>
  <c r="AD132" i="6"/>
  <c r="AE132" i="6"/>
  <c r="AF132" i="6"/>
  <c r="AG132" i="6"/>
  <c r="AH132" i="6"/>
  <c r="AJ132" i="6"/>
  <c r="AK132" i="6"/>
  <c r="AL132" i="6"/>
  <c r="AO132" i="6"/>
  <c r="H132" i="6" s="1"/>
  <c r="AP132" i="6"/>
  <c r="AW132" i="6"/>
  <c r="BD132" i="6"/>
  <c r="BF132" i="6"/>
  <c r="BJ132" i="6"/>
  <c r="J134" i="6"/>
  <c r="L134" i="6"/>
  <c r="Z134" i="6"/>
  <c r="AB134" i="6"/>
  <c r="AC134" i="6"/>
  <c r="AD134" i="6"/>
  <c r="AE134" i="6"/>
  <c r="AH134" i="6"/>
  <c r="AJ134" i="6"/>
  <c r="AK134" i="6"/>
  <c r="AO134" i="6"/>
  <c r="AP134" i="6"/>
  <c r="I134" i="6" s="1"/>
  <c r="BD134" i="6"/>
  <c r="BF134" i="6"/>
  <c r="BI134" i="6"/>
  <c r="AG134" i="6" s="1"/>
  <c r="BJ134" i="6"/>
  <c r="J137" i="6"/>
  <c r="AL137" i="6" s="1"/>
  <c r="L137" i="6"/>
  <c r="Z137" i="6"/>
  <c r="AB137" i="6"/>
  <c r="AC137" i="6"/>
  <c r="AD137" i="6"/>
  <c r="AE137" i="6"/>
  <c r="AH137" i="6"/>
  <c r="AJ137" i="6"/>
  <c r="AK137" i="6"/>
  <c r="AO137" i="6"/>
  <c r="BH137" i="6" s="1"/>
  <c r="AF137" i="6" s="1"/>
  <c r="AP137" i="6"/>
  <c r="BD137" i="6"/>
  <c r="BF137" i="6"/>
  <c r="BI137" i="6"/>
  <c r="AG137" i="6" s="1"/>
  <c r="BJ137" i="6"/>
  <c r="J140" i="6"/>
  <c r="L140" i="6"/>
  <c r="Z140" i="6"/>
  <c r="AB140" i="6"/>
  <c r="AC140" i="6"/>
  <c r="AD140" i="6"/>
  <c r="AE140" i="6"/>
  <c r="AH140" i="6"/>
  <c r="AJ140" i="6"/>
  <c r="AK140" i="6"/>
  <c r="AL140" i="6"/>
  <c r="AO140" i="6"/>
  <c r="H140" i="6" s="1"/>
  <c r="AP140" i="6"/>
  <c r="I140" i="6" s="1"/>
  <c r="AW140" i="6"/>
  <c r="BD140" i="6"/>
  <c r="BF140" i="6"/>
  <c r="BH140" i="6"/>
  <c r="AF140" i="6" s="1"/>
  <c r="BJ140" i="6"/>
  <c r="I142" i="6"/>
  <c r="J142" i="6"/>
  <c r="AL142" i="6" s="1"/>
  <c r="L142" i="6"/>
  <c r="Z142" i="6"/>
  <c r="AD142" i="6"/>
  <c r="AE142" i="6"/>
  <c r="AF142" i="6"/>
  <c r="AG142" i="6"/>
  <c r="AH142" i="6"/>
  <c r="AJ142" i="6"/>
  <c r="AK142" i="6"/>
  <c r="AO142" i="6"/>
  <c r="H142" i="6" s="1"/>
  <c r="AP142" i="6"/>
  <c r="AX142" i="6" s="1"/>
  <c r="BD142" i="6"/>
  <c r="BF142" i="6"/>
  <c r="BI142" i="6"/>
  <c r="AC142" i="6" s="1"/>
  <c r="BJ142" i="6"/>
  <c r="J144" i="6"/>
  <c r="AL144" i="6" s="1"/>
  <c r="L144" i="6"/>
  <c r="L131" i="6" s="1"/>
  <c r="Z144" i="6"/>
  <c r="AD144" i="6"/>
  <c r="AE144" i="6"/>
  <c r="AF144" i="6"/>
  <c r="AG144" i="6"/>
  <c r="AH144" i="6"/>
  <c r="AJ144" i="6"/>
  <c r="AK144" i="6"/>
  <c r="AO144" i="6"/>
  <c r="H144" i="6" s="1"/>
  <c r="AP144" i="6"/>
  <c r="I144" i="6" s="1"/>
  <c r="AX144" i="6"/>
  <c r="BD144" i="6"/>
  <c r="BJ144" i="6"/>
  <c r="I146" i="6"/>
  <c r="J146" i="6"/>
  <c r="L146" i="6"/>
  <c r="Z146" i="6"/>
  <c r="AD146" i="6"/>
  <c r="AE146" i="6"/>
  <c r="AF146" i="6"/>
  <c r="AG146" i="6"/>
  <c r="AH146" i="6"/>
  <c r="AJ146" i="6"/>
  <c r="AK146" i="6"/>
  <c r="AL146" i="6"/>
  <c r="AO146" i="6"/>
  <c r="H146" i="6" s="1"/>
  <c r="AP146" i="6"/>
  <c r="AX146" i="6" s="1"/>
  <c r="BD146" i="6"/>
  <c r="BF146" i="6"/>
  <c r="BH146" i="6"/>
  <c r="AB146" i="6" s="1"/>
  <c r="BJ146" i="6"/>
  <c r="J148" i="6"/>
  <c r="AL148" i="6" s="1"/>
  <c r="L148" i="6"/>
  <c r="Z148" i="6"/>
  <c r="AD148" i="6"/>
  <c r="AE148" i="6"/>
  <c r="AF148" i="6"/>
  <c r="AG148" i="6"/>
  <c r="AH148" i="6"/>
  <c r="AJ148" i="6"/>
  <c r="AK148" i="6"/>
  <c r="AO148" i="6"/>
  <c r="AP148" i="6"/>
  <c r="I148" i="6" s="1"/>
  <c r="BD148" i="6"/>
  <c r="BF148" i="6"/>
  <c r="BI148" i="6"/>
  <c r="AC148" i="6" s="1"/>
  <c r="BJ148" i="6"/>
  <c r="AS150" i="6"/>
  <c r="J151" i="6"/>
  <c r="J150" i="6" s="1"/>
  <c r="L151" i="6"/>
  <c r="L150" i="6" s="1"/>
  <c r="AB151" i="6"/>
  <c r="AC151" i="6"/>
  <c r="AD151" i="6"/>
  <c r="AE151" i="6"/>
  <c r="AF151" i="6"/>
  <c r="AG151" i="6"/>
  <c r="AH151" i="6"/>
  <c r="AJ151" i="6"/>
  <c r="AK151" i="6"/>
  <c r="AT150" i="6" s="1"/>
  <c r="AL151" i="6"/>
  <c r="AU150" i="6" s="1"/>
  <c r="AO151" i="6"/>
  <c r="H151" i="6" s="1"/>
  <c r="H150" i="6" s="1"/>
  <c r="AP151" i="6"/>
  <c r="I151" i="6" s="1"/>
  <c r="I150" i="6" s="1"/>
  <c r="AX151" i="6"/>
  <c r="BD151" i="6"/>
  <c r="BF151" i="6"/>
  <c r="BI151" i="6"/>
  <c r="BJ151" i="6"/>
  <c r="Z151" i="6" s="1"/>
  <c r="J153" i="6"/>
  <c r="L153" i="6"/>
  <c r="Z153" i="6"/>
  <c r="AB153" i="6"/>
  <c r="AC153" i="6"/>
  <c r="AF153" i="6"/>
  <c r="AG153" i="6"/>
  <c r="AH153" i="6"/>
  <c r="AJ153" i="6"/>
  <c r="AK153" i="6"/>
  <c r="AO153" i="6"/>
  <c r="H153" i="6" s="1"/>
  <c r="AP153" i="6"/>
  <c r="AX153" i="6" s="1"/>
  <c r="AV153" i="6" s="1"/>
  <c r="AW153" i="6"/>
  <c r="BC153" i="6" s="1"/>
  <c r="BD153" i="6"/>
  <c r="BF153" i="6"/>
  <c r="BH153" i="6"/>
  <c r="AD153" i="6" s="1"/>
  <c r="BJ153" i="6"/>
  <c r="J155" i="6"/>
  <c r="AL155" i="6" s="1"/>
  <c r="L155" i="6"/>
  <c r="L152" i="6" s="1"/>
  <c r="Z155" i="6"/>
  <c r="AB155" i="6"/>
  <c r="AC155" i="6"/>
  <c r="AF155" i="6"/>
  <c r="AG155" i="6"/>
  <c r="AH155" i="6"/>
  <c r="AJ155" i="6"/>
  <c r="AK155" i="6"/>
  <c r="AO155" i="6"/>
  <c r="H155" i="6" s="1"/>
  <c r="AP155" i="6"/>
  <c r="I155" i="6" s="1"/>
  <c r="AW155" i="6"/>
  <c r="BD155" i="6"/>
  <c r="BH155" i="6"/>
  <c r="AD155" i="6" s="1"/>
  <c r="BI155" i="6"/>
  <c r="AE155" i="6" s="1"/>
  <c r="BJ155" i="6"/>
  <c r="J157" i="6"/>
  <c r="L157" i="6"/>
  <c r="Z157" i="6"/>
  <c r="AB157" i="6"/>
  <c r="AC157" i="6"/>
  <c r="AF157" i="6"/>
  <c r="AG157" i="6"/>
  <c r="AH157" i="6"/>
  <c r="AJ157" i="6"/>
  <c r="AK157" i="6"/>
  <c r="AL157" i="6"/>
  <c r="AO157" i="6"/>
  <c r="H157" i="6" s="1"/>
  <c r="AP157" i="6"/>
  <c r="AX157" i="6" s="1"/>
  <c r="BD157" i="6"/>
  <c r="BF157" i="6"/>
  <c r="BJ157" i="6"/>
  <c r="J160" i="6"/>
  <c r="AL160" i="6" s="1"/>
  <c r="L160" i="6"/>
  <c r="BF160" i="6" s="1"/>
  <c r="Z160" i="6"/>
  <c r="AB160" i="6"/>
  <c r="AC160" i="6"/>
  <c r="AF160" i="6"/>
  <c r="AG160" i="6"/>
  <c r="AH160" i="6"/>
  <c r="AJ160" i="6"/>
  <c r="AK160" i="6"/>
  <c r="AO160" i="6"/>
  <c r="AP160" i="6"/>
  <c r="I160" i="6" s="1"/>
  <c r="AX160" i="6"/>
  <c r="BD160" i="6"/>
  <c r="BI160" i="6"/>
  <c r="AE160" i="6" s="1"/>
  <c r="BJ160" i="6"/>
  <c r="J162" i="6"/>
  <c r="AL162" i="6" s="1"/>
  <c r="L162" i="6"/>
  <c r="Z162" i="6"/>
  <c r="AB162" i="6"/>
  <c r="AC162" i="6"/>
  <c r="AF162" i="6"/>
  <c r="AG162" i="6"/>
  <c r="AH162" i="6"/>
  <c r="AJ162" i="6"/>
  <c r="AK162" i="6"/>
  <c r="AO162" i="6"/>
  <c r="H162" i="6" s="1"/>
  <c r="AP162" i="6"/>
  <c r="BD162" i="6"/>
  <c r="BF162" i="6"/>
  <c r="BJ162" i="6"/>
  <c r="J164" i="6"/>
  <c r="AL164" i="6" s="1"/>
  <c r="L164" i="6"/>
  <c r="Z164" i="6"/>
  <c r="AB164" i="6"/>
  <c r="AC164" i="6"/>
  <c r="AF164" i="6"/>
  <c r="AG164" i="6"/>
  <c r="AH164" i="6"/>
  <c r="AJ164" i="6"/>
  <c r="AK164" i="6"/>
  <c r="AO164" i="6"/>
  <c r="AP164" i="6"/>
  <c r="I164" i="6" s="1"/>
  <c r="BD164" i="6"/>
  <c r="BF164" i="6"/>
  <c r="BI164" i="6"/>
  <c r="AE164" i="6" s="1"/>
  <c r="BJ164" i="6"/>
  <c r="J166" i="6"/>
  <c r="L166" i="6"/>
  <c r="Z166" i="6"/>
  <c r="AB166" i="6"/>
  <c r="AC166" i="6"/>
  <c r="AF166" i="6"/>
  <c r="AG166" i="6"/>
  <c r="AH166" i="6"/>
  <c r="AJ166" i="6"/>
  <c r="AK166" i="6"/>
  <c r="AL166" i="6"/>
  <c r="AO166" i="6"/>
  <c r="H166" i="6" s="1"/>
  <c r="AP166" i="6"/>
  <c r="AW166" i="6"/>
  <c r="BD166" i="6"/>
  <c r="BF166" i="6"/>
  <c r="BH166" i="6"/>
  <c r="AD166" i="6" s="1"/>
  <c r="BI166" i="6"/>
  <c r="AE166" i="6" s="1"/>
  <c r="BJ166" i="6"/>
  <c r="J168" i="6"/>
  <c r="AL168" i="6" s="1"/>
  <c r="L168" i="6"/>
  <c r="Z168" i="6"/>
  <c r="AB168" i="6"/>
  <c r="AC168" i="6"/>
  <c r="AF168" i="6"/>
  <c r="AG168" i="6"/>
  <c r="AH168" i="6"/>
  <c r="AJ168" i="6"/>
  <c r="AK168" i="6"/>
  <c r="AO168" i="6"/>
  <c r="H168" i="6" s="1"/>
  <c r="AP168" i="6"/>
  <c r="I168" i="6" s="1"/>
  <c r="AW168" i="6"/>
  <c r="BD168" i="6"/>
  <c r="BF168" i="6"/>
  <c r="BH168" i="6"/>
  <c r="AD168" i="6" s="1"/>
  <c r="BJ168" i="6"/>
  <c r="J171" i="6"/>
  <c r="L171" i="6"/>
  <c r="AB171" i="6"/>
  <c r="AC171" i="6"/>
  <c r="AD171" i="6"/>
  <c r="AE171" i="6"/>
  <c r="AF171" i="6"/>
  <c r="AG171" i="6"/>
  <c r="AH171" i="6"/>
  <c r="AJ171" i="6"/>
  <c r="AK171" i="6"/>
  <c r="AL171" i="6"/>
  <c r="AO171" i="6"/>
  <c r="AW171" i="6" s="1"/>
  <c r="AV171" i="6" s="1"/>
  <c r="AP171" i="6"/>
  <c r="AX171" i="6" s="1"/>
  <c r="BD171" i="6"/>
  <c r="BF171" i="6"/>
  <c r="BJ171" i="6"/>
  <c r="Z171" i="6" s="1"/>
  <c r="L172" i="6"/>
  <c r="J173" i="6"/>
  <c r="L173" i="6"/>
  <c r="BF173" i="6" s="1"/>
  <c r="Z173" i="6"/>
  <c r="AB173" i="6"/>
  <c r="AC173" i="6"/>
  <c r="AF173" i="6"/>
  <c r="AG173" i="6"/>
  <c r="AH173" i="6"/>
  <c r="AJ173" i="6"/>
  <c r="AK173" i="6"/>
  <c r="AL173" i="6"/>
  <c r="AO173" i="6"/>
  <c r="AP173" i="6"/>
  <c r="I173" i="6" s="1"/>
  <c r="AX173" i="6"/>
  <c r="BD173" i="6"/>
  <c r="BI173" i="6"/>
  <c r="AE173" i="6" s="1"/>
  <c r="BJ173" i="6"/>
  <c r="I175" i="6"/>
  <c r="J175" i="6"/>
  <c r="L175" i="6"/>
  <c r="Z175" i="6"/>
  <c r="AB175" i="6"/>
  <c r="AC175" i="6"/>
  <c r="AF175" i="6"/>
  <c r="AG175" i="6"/>
  <c r="AH175" i="6"/>
  <c r="AJ175" i="6"/>
  <c r="AK175" i="6"/>
  <c r="AL175" i="6"/>
  <c r="AO175" i="6"/>
  <c r="H175" i="6" s="1"/>
  <c r="AP175" i="6"/>
  <c r="AX175" i="6"/>
  <c r="BD175" i="6"/>
  <c r="BF175" i="6"/>
  <c r="BI175" i="6"/>
  <c r="AE175" i="6" s="1"/>
  <c r="BJ175" i="6"/>
  <c r="J177" i="6"/>
  <c r="AL177" i="6" s="1"/>
  <c r="L177" i="6"/>
  <c r="BF177" i="6" s="1"/>
  <c r="Z177" i="6"/>
  <c r="AB177" i="6"/>
  <c r="AC177" i="6"/>
  <c r="AF177" i="6"/>
  <c r="AG177" i="6"/>
  <c r="AH177" i="6"/>
  <c r="AJ177" i="6"/>
  <c r="AK177" i="6"/>
  <c r="AO177" i="6"/>
  <c r="AP177" i="6"/>
  <c r="I177" i="6" s="1"/>
  <c r="AX177" i="6"/>
  <c r="BD177" i="6"/>
  <c r="BJ177" i="6"/>
  <c r="J179" i="6"/>
  <c r="AL179" i="6" s="1"/>
  <c r="L179" i="6"/>
  <c r="Z179" i="6"/>
  <c r="AB179" i="6"/>
  <c r="AC179" i="6"/>
  <c r="AF179" i="6"/>
  <c r="AG179" i="6"/>
  <c r="AH179" i="6"/>
  <c r="AJ179" i="6"/>
  <c r="AK179" i="6"/>
  <c r="AO179" i="6"/>
  <c r="H179" i="6" s="1"/>
  <c r="AP179" i="6"/>
  <c r="I179" i="6" s="1"/>
  <c r="AW179" i="6"/>
  <c r="BD179" i="6"/>
  <c r="BF179" i="6"/>
  <c r="BH179" i="6"/>
  <c r="AD179" i="6" s="1"/>
  <c r="BJ179" i="6"/>
  <c r="J181" i="6"/>
  <c r="L181" i="6"/>
  <c r="BF181" i="6" s="1"/>
  <c r="Z181" i="6"/>
  <c r="AB181" i="6"/>
  <c r="AC181" i="6"/>
  <c r="AF181" i="6"/>
  <c r="AG181" i="6"/>
  <c r="AH181" i="6"/>
  <c r="AJ181" i="6"/>
  <c r="AK181" i="6"/>
  <c r="AL181" i="6"/>
  <c r="AO181" i="6"/>
  <c r="AP181" i="6"/>
  <c r="I181" i="6" s="1"/>
  <c r="AX181" i="6"/>
  <c r="BD181" i="6"/>
  <c r="BI181" i="6"/>
  <c r="AE181" i="6" s="1"/>
  <c r="BJ181" i="6"/>
  <c r="J183" i="6"/>
  <c r="AL183" i="6" s="1"/>
  <c r="L183" i="6"/>
  <c r="Z183" i="6"/>
  <c r="AB183" i="6"/>
  <c r="AC183" i="6"/>
  <c r="AF183" i="6"/>
  <c r="AG183" i="6"/>
  <c r="AH183" i="6"/>
  <c r="AJ183" i="6"/>
  <c r="AK183" i="6"/>
  <c r="AO183" i="6"/>
  <c r="H183" i="6" s="1"/>
  <c r="AP183" i="6"/>
  <c r="AX183" i="6" s="1"/>
  <c r="AW183" i="6"/>
  <c r="BD183" i="6"/>
  <c r="BF183" i="6"/>
  <c r="BH183" i="6"/>
  <c r="AD183" i="6" s="1"/>
  <c r="BJ183" i="6"/>
  <c r="J185" i="6"/>
  <c r="AL185" i="6" s="1"/>
  <c r="L185" i="6"/>
  <c r="BF185" i="6" s="1"/>
  <c r="Z185" i="6"/>
  <c r="AB185" i="6"/>
  <c r="AC185" i="6"/>
  <c r="AD185" i="6"/>
  <c r="AE185" i="6"/>
  <c r="AH185" i="6"/>
  <c r="AJ185" i="6"/>
  <c r="AK185" i="6"/>
  <c r="AO185" i="6"/>
  <c r="AW185" i="6" s="1"/>
  <c r="AP185" i="6"/>
  <c r="I185" i="6" s="1"/>
  <c r="BD185" i="6"/>
  <c r="BJ185" i="6"/>
  <c r="H187" i="6"/>
  <c r="J187" i="6"/>
  <c r="AL187" i="6" s="1"/>
  <c r="L187" i="6"/>
  <c r="Z187" i="6"/>
  <c r="AB187" i="6"/>
  <c r="AC187" i="6"/>
  <c r="AD187" i="6"/>
  <c r="AE187" i="6"/>
  <c r="AH187" i="6"/>
  <c r="AJ187" i="6"/>
  <c r="AK187" i="6"/>
  <c r="AO187" i="6"/>
  <c r="AW187" i="6" s="1"/>
  <c r="AV187" i="6" s="1"/>
  <c r="AP187" i="6"/>
  <c r="AX187" i="6" s="1"/>
  <c r="BD187" i="6"/>
  <c r="BF187" i="6"/>
  <c r="BH187" i="6"/>
  <c r="AF187" i="6" s="1"/>
  <c r="BJ187" i="6"/>
  <c r="J189" i="6"/>
  <c r="AL189" i="6" s="1"/>
  <c r="L189" i="6"/>
  <c r="Z189" i="6"/>
  <c r="AB189" i="6"/>
  <c r="AC189" i="6"/>
  <c r="AF189" i="6"/>
  <c r="AG189" i="6"/>
  <c r="AH189" i="6"/>
  <c r="AJ189" i="6"/>
  <c r="AK189" i="6"/>
  <c r="AO189" i="6"/>
  <c r="BH189" i="6" s="1"/>
  <c r="AD189" i="6" s="1"/>
  <c r="AP189" i="6"/>
  <c r="I189" i="6" s="1"/>
  <c r="BD189" i="6"/>
  <c r="BF189" i="6"/>
  <c r="BJ189" i="6"/>
  <c r="J191" i="6"/>
  <c r="AL191" i="6" s="1"/>
  <c r="L191" i="6"/>
  <c r="Z191" i="6"/>
  <c r="AB191" i="6"/>
  <c r="AC191" i="6"/>
  <c r="AF191" i="6"/>
  <c r="AG191" i="6"/>
  <c r="AH191" i="6"/>
  <c r="AJ191" i="6"/>
  <c r="AK191" i="6"/>
  <c r="AO191" i="6"/>
  <c r="H191" i="6" s="1"/>
  <c r="AP191" i="6"/>
  <c r="AX191" i="6" s="1"/>
  <c r="BD191" i="6"/>
  <c r="BF191" i="6"/>
  <c r="BH191" i="6"/>
  <c r="AD191" i="6" s="1"/>
  <c r="BJ191" i="6"/>
  <c r="J193" i="6"/>
  <c r="L193" i="6"/>
  <c r="Z193" i="6"/>
  <c r="AB193" i="6"/>
  <c r="AC193" i="6"/>
  <c r="AF193" i="6"/>
  <c r="AG193" i="6"/>
  <c r="AH193" i="6"/>
  <c r="AJ193" i="6"/>
  <c r="AK193" i="6"/>
  <c r="AL193" i="6"/>
  <c r="AO193" i="6"/>
  <c r="BH193" i="6" s="1"/>
  <c r="AD193" i="6" s="1"/>
  <c r="AP193" i="6"/>
  <c r="I193" i="6" s="1"/>
  <c r="AW193" i="6"/>
  <c r="BD193" i="6"/>
  <c r="BF193" i="6"/>
  <c r="BJ193" i="6"/>
  <c r="J195" i="6"/>
  <c r="AL195" i="6" s="1"/>
  <c r="L195" i="6"/>
  <c r="Z195" i="6"/>
  <c r="AB195" i="6"/>
  <c r="AC195" i="6"/>
  <c r="AF195" i="6"/>
  <c r="AG195" i="6"/>
  <c r="AH195" i="6"/>
  <c r="AJ195" i="6"/>
  <c r="AK195" i="6"/>
  <c r="AO195" i="6"/>
  <c r="H195" i="6" s="1"/>
  <c r="AP195" i="6"/>
  <c r="AX195" i="6" s="1"/>
  <c r="AW195" i="6"/>
  <c r="AV195" i="6" s="1"/>
  <c r="BD195" i="6"/>
  <c r="BF195" i="6"/>
  <c r="BJ195" i="6"/>
  <c r="J197" i="6"/>
  <c r="L197" i="6"/>
  <c r="Z197" i="6"/>
  <c r="AB197" i="6"/>
  <c r="AC197" i="6"/>
  <c r="AD197" i="6"/>
  <c r="AE197" i="6"/>
  <c r="AF197" i="6"/>
  <c r="AG197" i="6"/>
  <c r="AH197" i="6"/>
  <c r="AJ197" i="6"/>
  <c r="AK197" i="6"/>
  <c r="AL197" i="6"/>
  <c r="AO197" i="6"/>
  <c r="BH197" i="6" s="1"/>
  <c r="AP197" i="6"/>
  <c r="I197" i="6" s="1"/>
  <c r="BD197" i="6"/>
  <c r="BF197" i="6"/>
  <c r="BJ197" i="6"/>
  <c r="J199" i="6"/>
  <c r="L199" i="6"/>
  <c r="Z199" i="6"/>
  <c r="AB199" i="6"/>
  <c r="AC199" i="6"/>
  <c r="AF199" i="6"/>
  <c r="AG199" i="6"/>
  <c r="AH199" i="6"/>
  <c r="AJ199" i="6"/>
  <c r="AK199" i="6"/>
  <c r="AO199" i="6"/>
  <c r="H199" i="6" s="1"/>
  <c r="AP199" i="6"/>
  <c r="I199" i="6" s="1"/>
  <c r="AX199" i="6"/>
  <c r="BD199" i="6"/>
  <c r="BI199" i="6"/>
  <c r="AE199" i="6" s="1"/>
  <c r="BJ199" i="6"/>
  <c r="J201" i="6"/>
  <c r="L201" i="6"/>
  <c r="BF201" i="6" s="1"/>
  <c r="Z201" i="6"/>
  <c r="AB201" i="6"/>
  <c r="AC201" i="6"/>
  <c r="AF201" i="6"/>
  <c r="AG201" i="6"/>
  <c r="AH201" i="6"/>
  <c r="AJ201" i="6"/>
  <c r="AK201" i="6"/>
  <c r="AL201" i="6"/>
  <c r="AO201" i="6"/>
  <c r="AW201" i="6" s="1"/>
  <c r="AP201" i="6"/>
  <c r="I201" i="6" s="1"/>
  <c r="BD201" i="6"/>
  <c r="BI201" i="6"/>
  <c r="AE201" i="6" s="1"/>
  <c r="BJ201" i="6"/>
  <c r="J203" i="6"/>
  <c r="AL203" i="6" s="1"/>
  <c r="L203" i="6"/>
  <c r="AB203" i="6"/>
  <c r="AC203" i="6"/>
  <c r="AD203" i="6"/>
  <c r="AE203" i="6"/>
  <c r="AF203" i="6"/>
  <c r="AG203" i="6"/>
  <c r="AH203" i="6"/>
  <c r="AJ203" i="6"/>
  <c r="AK203" i="6"/>
  <c r="AT198" i="6" s="1"/>
  <c r="AO203" i="6"/>
  <c r="H203" i="6" s="1"/>
  <c r="AP203" i="6"/>
  <c r="I203" i="6" s="1"/>
  <c r="AX203" i="6"/>
  <c r="BD203" i="6"/>
  <c r="BF203" i="6"/>
  <c r="BI203" i="6"/>
  <c r="BJ203" i="6"/>
  <c r="Z203" i="6" s="1"/>
  <c r="J205" i="6"/>
  <c r="AL205" i="6" s="1"/>
  <c r="L205" i="6"/>
  <c r="Z205" i="6"/>
  <c r="AB205" i="6"/>
  <c r="AC205" i="6"/>
  <c r="AF205" i="6"/>
  <c r="AG205" i="6"/>
  <c r="AH205" i="6"/>
  <c r="AJ205" i="6"/>
  <c r="AK205" i="6"/>
  <c r="AO205" i="6"/>
  <c r="H205" i="6" s="1"/>
  <c r="AP205" i="6"/>
  <c r="AX205" i="6" s="1"/>
  <c r="BD205" i="6"/>
  <c r="BF205" i="6"/>
  <c r="BH205" i="6"/>
  <c r="AD205" i="6" s="1"/>
  <c r="BJ205" i="6"/>
  <c r="J207" i="6"/>
  <c r="L207" i="6"/>
  <c r="BF207" i="6" s="1"/>
  <c r="Z207" i="6"/>
  <c r="AB207" i="6"/>
  <c r="AC207" i="6"/>
  <c r="AF207" i="6"/>
  <c r="AG207" i="6"/>
  <c r="AH207" i="6"/>
  <c r="AJ207" i="6"/>
  <c r="AK207" i="6"/>
  <c r="AL207" i="6"/>
  <c r="AO207" i="6"/>
  <c r="H207" i="6" s="1"/>
  <c r="AP207" i="6"/>
  <c r="I207" i="6" s="1"/>
  <c r="BD207" i="6"/>
  <c r="BJ207" i="6"/>
  <c r="J209" i="6"/>
  <c r="AL209" i="6" s="1"/>
  <c r="L209" i="6"/>
  <c r="Z209" i="6"/>
  <c r="AB209" i="6"/>
  <c r="AC209" i="6"/>
  <c r="AF209" i="6"/>
  <c r="AG209" i="6"/>
  <c r="AH209" i="6"/>
  <c r="AJ209" i="6"/>
  <c r="AK209" i="6"/>
  <c r="AO209" i="6"/>
  <c r="H209" i="6" s="1"/>
  <c r="AP209" i="6"/>
  <c r="AX209" i="6" s="1"/>
  <c r="BD209" i="6"/>
  <c r="BF209" i="6"/>
  <c r="BH209" i="6"/>
  <c r="AD209" i="6" s="1"/>
  <c r="BJ209" i="6"/>
  <c r="J211" i="6"/>
  <c r="L211" i="6"/>
  <c r="BF211" i="6" s="1"/>
  <c r="Z211" i="6"/>
  <c r="AB211" i="6"/>
  <c r="AC211" i="6"/>
  <c r="AF211" i="6"/>
  <c r="AG211" i="6"/>
  <c r="AH211" i="6"/>
  <c r="AJ211" i="6"/>
  <c r="AK211" i="6"/>
  <c r="AL211" i="6"/>
  <c r="AO211" i="6"/>
  <c r="H211" i="6" s="1"/>
  <c r="AP211" i="6"/>
  <c r="I211" i="6" s="1"/>
  <c r="BD211" i="6"/>
  <c r="BJ211" i="6"/>
  <c r="H213" i="6"/>
  <c r="I213" i="6"/>
  <c r="J213" i="6"/>
  <c r="L213" i="6"/>
  <c r="Z213" i="6"/>
  <c r="AB213" i="6"/>
  <c r="AC213" i="6"/>
  <c r="AD213" i="6"/>
  <c r="AE213" i="6"/>
  <c r="AF213" i="6"/>
  <c r="AH213" i="6"/>
  <c r="AJ213" i="6"/>
  <c r="AK213" i="6"/>
  <c r="AL213" i="6"/>
  <c r="AO213" i="6"/>
  <c r="AP213" i="6"/>
  <c r="AX213" i="6" s="1"/>
  <c r="AW213" i="6"/>
  <c r="AV213" i="6" s="1"/>
  <c r="BC213" i="6"/>
  <c r="BD213" i="6"/>
  <c r="BF213" i="6"/>
  <c r="BH213" i="6"/>
  <c r="BI213" i="6"/>
  <c r="AG213" i="6" s="1"/>
  <c r="BJ213" i="6"/>
  <c r="J218" i="6"/>
  <c r="AL218" i="6" s="1"/>
  <c r="L218" i="6"/>
  <c r="BF218" i="6" s="1"/>
  <c r="Z218" i="6"/>
  <c r="AB218" i="6"/>
  <c r="AC218" i="6"/>
  <c r="AF218" i="6"/>
  <c r="AG218" i="6"/>
  <c r="AH218" i="6"/>
  <c r="AJ218" i="6"/>
  <c r="AK218" i="6"/>
  <c r="AO218" i="6"/>
  <c r="H218" i="6" s="1"/>
  <c r="AP218" i="6"/>
  <c r="I218" i="6" s="1"/>
  <c r="BD218" i="6"/>
  <c r="BJ218" i="6"/>
  <c r="H220" i="6"/>
  <c r="I220" i="6"/>
  <c r="J220" i="6"/>
  <c r="L220" i="6"/>
  <c r="Z220" i="6"/>
  <c r="AB220" i="6"/>
  <c r="AC220" i="6"/>
  <c r="AD220" i="6"/>
  <c r="AE220" i="6"/>
  <c r="AF220" i="6"/>
  <c r="AH220" i="6"/>
  <c r="AJ220" i="6"/>
  <c r="AK220" i="6"/>
  <c r="AL220" i="6"/>
  <c r="AO220" i="6"/>
  <c r="AP220" i="6"/>
  <c r="AX220" i="6" s="1"/>
  <c r="AW220" i="6"/>
  <c r="BD220" i="6"/>
  <c r="BF220" i="6"/>
  <c r="BH220" i="6"/>
  <c r="BJ220" i="6"/>
  <c r="J222" i="6"/>
  <c r="AL222" i="6" s="1"/>
  <c r="L222" i="6"/>
  <c r="Z222" i="6"/>
  <c r="AB222" i="6"/>
  <c r="AC222" i="6"/>
  <c r="AF222" i="6"/>
  <c r="AG222" i="6"/>
  <c r="AH222" i="6"/>
  <c r="AJ222" i="6"/>
  <c r="AK222" i="6"/>
  <c r="AO222" i="6"/>
  <c r="H222" i="6" s="1"/>
  <c r="AP222" i="6"/>
  <c r="I222" i="6" s="1"/>
  <c r="AW222" i="6"/>
  <c r="AX222" i="6"/>
  <c r="BD222" i="6"/>
  <c r="BF222" i="6"/>
  <c r="BH222" i="6"/>
  <c r="AD222" i="6" s="1"/>
  <c r="BJ222" i="6"/>
  <c r="F223" i="6"/>
  <c r="J225" i="6"/>
  <c r="L225" i="6"/>
  <c r="BF225" i="6" s="1"/>
  <c r="Z225" i="6"/>
  <c r="AB225" i="6"/>
  <c r="AC225" i="6"/>
  <c r="AD225" i="6"/>
  <c r="AE225" i="6"/>
  <c r="AH225" i="6"/>
  <c r="AJ225" i="6"/>
  <c r="AK225" i="6"/>
  <c r="AL225" i="6"/>
  <c r="AO225" i="6"/>
  <c r="AW225" i="6" s="1"/>
  <c r="AP225" i="6"/>
  <c r="I225" i="6" s="1"/>
  <c r="BD225" i="6"/>
  <c r="BJ225" i="6"/>
  <c r="F226" i="6"/>
  <c r="J228" i="6"/>
  <c r="L228" i="6"/>
  <c r="BF228" i="6" s="1"/>
  <c r="Z228" i="6"/>
  <c r="AB228" i="6"/>
  <c r="AC228" i="6"/>
  <c r="AF228" i="6"/>
  <c r="AG228" i="6"/>
  <c r="AH228" i="6"/>
  <c r="AJ228" i="6"/>
  <c r="AK228" i="6"/>
  <c r="AL228" i="6"/>
  <c r="AO228" i="6"/>
  <c r="AW228" i="6" s="1"/>
  <c r="AP228" i="6"/>
  <c r="BI228" i="6" s="1"/>
  <c r="AE228" i="6" s="1"/>
  <c r="BD228" i="6"/>
  <c r="BH228" i="6"/>
  <c r="AD228" i="6" s="1"/>
  <c r="BJ228" i="6"/>
  <c r="J231" i="6"/>
  <c r="AL231" i="6" s="1"/>
  <c r="L231" i="6"/>
  <c r="Z231" i="6"/>
  <c r="AB231" i="6"/>
  <c r="AC231" i="6"/>
  <c r="AF231" i="6"/>
  <c r="AG231" i="6"/>
  <c r="AH231" i="6"/>
  <c r="AJ231" i="6"/>
  <c r="AK231" i="6"/>
  <c r="AO231" i="6"/>
  <c r="H231" i="6" s="1"/>
  <c r="AP231" i="6"/>
  <c r="AX231" i="6" s="1"/>
  <c r="AW231" i="6"/>
  <c r="BD231" i="6"/>
  <c r="BF231" i="6"/>
  <c r="BH231" i="6"/>
  <c r="AD231" i="6" s="1"/>
  <c r="BI231" i="6"/>
  <c r="AE231" i="6" s="1"/>
  <c r="BJ231" i="6"/>
  <c r="J234" i="6"/>
  <c r="L234" i="6"/>
  <c r="BF234" i="6" s="1"/>
  <c r="Z234" i="6"/>
  <c r="AB234" i="6"/>
  <c r="AC234" i="6"/>
  <c r="AD234" i="6"/>
  <c r="AE234" i="6"/>
  <c r="AH234" i="6"/>
  <c r="AJ234" i="6"/>
  <c r="AK234" i="6"/>
  <c r="AL234" i="6"/>
  <c r="AO234" i="6"/>
  <c r="AW234" i="6" s="1"/>
  <c r="AP234" i="6"/>
  <c r="BD234" i="6"/>
  <c r="BH234" i="6"/>
  <c r="AF234" i="6" s="1"/>
  <c r="BI234" i="6"/>
  <c r="AG234" i="6" s="1"/>
  <c r="BJ234" i="6"/>
  <c r="J239" i="6"/>
  <c r="AL239" i="6" s="1"/>
  <c r="L239" i="6"/>
  <c r="Z239" i="6"/>
  <c r="AB239" i="6"/>
  <c r="AC239" i="6"/>
  <c r="AF239" i="6"/>
  <c r="AG239" i="6"/>
  <c r="AH239" i="6"/>
  <c r="AJ239" i="6"/>
  <c r="AK239" i="6"/>
  <c r="AO239" i="6"/>
  <c r="H239" i="6" s="1"/>
  <c r="AP239" i="6"/>
  <c r="AX239" i="6" s="1"/>
  <c r="BD239" i="6"/>
  <c r="BF239" i="6"/>
  <c r="BH239" i="6"/>
  <c r="AD239" i="6" s="1"/>
  <c r="BJ239" i="6"/>
  <c r="J241" i="6"/>
  <c r="AL241" i="6" s="1"/>
  <c r="L241" i="6"/>
  <c r="BF241" i="6" s="1"/>
  <c r="Z241" i="6"/>
  <c r="AB241" i="6"/>
  <c r="AC241" i="6"/>
  <c r="AF241" i="6"/>
  <c r="AG241" i="6"/>
  <c r="AH241" i="6"/>
  <c r="AJ241" i="6"/>
  <c r="AK241" i="6"/>
  <c r="AO241" i="6"/>
  <c r="AW241" i="6" s="1"/>
  <c r="AP241" i="6"/>
  <c r="BI241" i="6" s="1"/>
  <c r="AE241" i="6" s="1"/>
  <c r="BD241" i="6"/>
  <c r="BJ241" i="6"/>
  <c r="J243" i="6"/>
  <c r="L243" i="6"/>
  <c r="Z243" i="6"/>
  <c r="AB243" i="6"/>
  <c r="AC243" i="6"/>
  <c r="AF243" i="6"/>
  <c r="AG243" i="6"/>
  <c r="AH243" i="6"/>
  <c r="AJ243" i="6"/>
  <c r="AK243" i="6"/>
  <c r="AL243" i="6"/>
  <c r="AO243" i="6"/>
  <c r="H243" i="6" s="1"/>
  <c r="AP243" i="6"/>
  <c r="AX243" i="6" s="1"/>
  <c r="AW243" i="6"/>
  <c r="BD243" i="6"/>
  <c r="BF243" i="6"/>
  <c r="BH243" i="6"/>
  <c r="AD243" i="6" s="1"/>
  <c r="BJ243" i="6"/>
  <c r="J247" i="6"/>
  <c r="L247" i="6"/>
  <c r="BF247" i="6" s="1"/>
  <c r="Z247" i="6"/>
  <c r="AB247" i="6"/>
  <c r="AC247" i="6"/>
  <c r="AF247" i="6"/>
  <c r="AG247" i="6"/>
  <c r="AH247" i="6"/>
  <c r="AJ247" i="6"/>
  <c r="AK247" i="6"/>
  <c r="AL247" i="6"/>
  <c r="AO247" i="6"/>
  <c r="AW247" i="6" s="1"/>
  <c r="AP247" i="6"/>
  <c r="BD247" i="6"/>
  <c r="BH247" i="6"/>
  <c r="AD247" i="6" s="1"/>
  <c r="BI247" i="6"/>
  <c r="AE247" i="6" s="1"/>
  <c r="BJ247" i="6"/>
  <c r="I250" i="6"/>
  <c r="J250" i="6"/>
  <c r="L250" i="6"/>
  <c r="Z250" i="6"/>
  <c r="AB250" i="6"/>
  <c r="AC250" i="6"/>
  <c r="AF250" i="6"/>
  <c r="AG250" i="6"/>
  <c r="AH250" i="6"/>
  <c r="AJ250" i="6"/>
  <c r="AK250" i="6"/>
  <c r="AL250" i="6"/>
  <c r="AO250" i="6"/>
  <c r="H250" i="6" s="1"/>
  <c r="AP250" i="6"/>
  <c r="AX250" i="6" s="1"/>
  <c r="AW250" i="6"/>
  <c r="BD250" i="6"/>
  <c r="BF250" i="6"/>
  <c r="BI250" i="6"/>
  <c r="AE250" i="6" s="1"/>
  <c r="BJ250" i="6"/>
  <c r="J256" i="6"/>
  <c r="L256" i="6"/>
  <c r="BF256" i="6" s="1"/>
  <c r="AB256" i="6"/>
  <c r="AC256" i="6"/>
  <c r="AD256" i="6"/>
  <c r="AE256" i="6"/>
  <c r="AF256" i="6"/>
  <c r="AG256" i="6"/>
  <c r="AH256" i="6"/>
  <c r="AJ256" i="6"/>
  <c r="AK256" i="6"/>
  <c r="AL256" i="6"/>
  <c r="AO256" i="6"/>
  <c r="AW256" i="6" s="1"/>
  <c r="AP256" i="6"/>
  <c r="BD256" i="6"/>
  <c r="BI256" i="6"/>
  <c r="BJ256" i="6"/>
  <c r="Z256" i="6" s="1"/>
  <c r="J258" i="6"/>
  <c r="L258" i="6"/>
  <c r="Z258" i="6"/>
  <c r="AB258" i="6"/>
  <c r="AC258" i="6"/>
  <c r="AF258" i="6"/>
  <c r="AG258" i="6"/>
  <c r="AH258" i="6"/>
  <c r="AJ258" i="6"/>
  <c r="AK258" i="6"/>
  <c r="AL258" i="6"/>
  <c r="AO258" i="6"/>
  <c r="AP258" i="6"/>
  <c r="AX258" i="6" s="1"/>
  <c r="BD258" i="6"/>
  <c r="BH258" i="6"/>
  <c r="AD258" i="6" s="1"/>
  <c r="BI258" i="6"/>
  <c r="AE258" i="6" s="1"/>
  <c r="BJ258" i="6"/>
  <c r="J260" i="6"/>
  <c r="AL260" i="6" s="1"/>
  <c r="L260" i="6"/>
  <c r="BF260" i="6" s="1"/>
  <c r="Z260" i="6"/>
  <c r="AB260" i="6"/>
  <c r="AC260" i="6"/>
  <c r="AD260" i="6"/>
  <c r="AE260" i="6"/>
  <c r="AH260" i="6"/>
  <c r="AJ260" i="6"/>
  <c r="AK260" i="6"/>
  <c r="AO260" i="6"/>
  <c r="AW260" i="6" s="1"/>
  <c r="AP260" i="6"/>
  <c r="AX260" i="6" s="1"/>
  <c r="AV260" i="6" s="1"/>
  <c r="BD260" i="6"/>
  <c r="BH260" i="6"/>
  <c r="AF260" i="6" s="1"/>
  <c r="BJ260" i="6"/>
  <c r="I262" i="6"/>
  <c r="J262" i="6"/>
  <c r="L262" i="6"/>
  <c r="BF262" i="6" s="1"/>
  <c r="AB262" i="6"/>
  <c r="AC262" i="6"/>
  <c r="AD262" i="6"/>
  <c r="AE262" i="6"/>
  <c r="AF262" i="6"/>
  <c r="AG262" i="6"/>
  <c r="AH262" i="6"/>
  <c r="AJ262" i="6"/>
  <c r="AK262" i="6"/>
  <c r="AL262" i="6"/>
  <c r="AO262" i="6"/>
  <c r="AP262" i="6"/>
  <c r="AX262" i="6"/>
  <c r="BD262" i="6"/>
  <c r="BH262" i="6"/>
  <c r="BI262" i="6"/>
  <c r="BJ262" i="6"/>
  <c r="Z262" i="6" s="1"/>
  <c r="J264" i="6"/>
  <c r="L264" i="6"/>
  <c r="Z264" i="6"/>
  <c r="AB264" i="6"/>
  <c r="AC264" i="6"/>
  <c r="AF264" i="6"/>
  <c r="AG264" i="6"/>
  <c r="AH264" i="6"/>
  <c r="AJ264" i="6"/>
  <c r="AK264" i="6"/>
  <c r="AO264" i="6"/>
  <c r="AW264" i="6" s="1"/>
  <c r="AP264" i="6"/>
  <c r="AX264" i="6" s="1"/>
  <c r="BD264" i="6"/>
  <c r="BF264" i="6"/>
  <c r="BI264" i="6"/>
  <c r="AE264" i="6" s="1"/>
  <c r="BJ264" i="6"/>
  <c r="J267" i="6"/>
  <c r="L267" i="6"/>
  <c r="L263" i="6" s="1"/>
  <c r="Z267" i="6"/>
  <c r="AB267" i="6"/>
  <c r="AC267" i="6"/>
  <c r="AD267" i="6"/>
  <c r="AE267" i="6"/>
  <c r="AH267" i="6"/>
  <c r="AJ267" i="6"/>
  <c r="AK267" i="6"/>
  <c r="AL267" i="6"/>
  <c r="AO267" i="6"/>
  <c r="AW267" i="6" s="1"/>
  <c r="AP267" i="6"/>
  <c r="BI267" i="6" s="1"/>
  <c r="AG267" i="6" s="1"/>
  <c r="BD267" i="6"/>
  <c r="BH267" i="6"/>
  <c r="AF267" i="6" s="1"/>
  <c r="BJ267" i="6"/>
  <c r="J269" i="6"/>
  <c r="L269" i="6"/>
  <c r="Z269" i="6"/>
  <c r="AB269" i="6"/>
  <c r="AC269" i="6"/>
  <c r="AD269" i="6"/>
  <c r="AE269" i="6"/>
  <c r="AH269" i="6"/>
  <c r="AJ269" i="6"/>
  <c r="AK269" i="6"/>
  <c r="AL269" i="6"/>
  <c r="AO269" i="6"/>
  <c r="H269" i="6" s="1"/>
  <c r="AP269" i="6"/>
  <c r="AX269" i="6" s="1"/>
  <c r="AW269" i="6"/>
  <c r="BD269" i="6"/>
  <c r="BF269" i="6"/>
  <c r="BH269" i="6"/>
  <c r="AF269" i="6" s="1"/>
  <c r="BI269" i="6"/>
  <c r="AG269" i="6" s="1"/>
  <c r="BJ269" i="6"/>
  <c r="J272" i="6"/>
  <c r="L272" i="6"/>
  <c r="BF272" i="6" s="1"/>
  <c r="Z272" i="6"/>
  <c r="AB272" i="6"/>
  <c r="AC272" i="6"/>
  <c r="AD272" i="6"/>
  <c r="AE272" i="6"/>
  <c r="AH272" i="6"/>
  <c r="AJ272" i="6"/>
  <c r="AK272" i="6"/>
  <c r="AL272" i="6"/>
  <c r="AO272" i="6"/>
  <c r="AW272" i="6" s="1"/>
  <c r="AP272" i="6"/>
  <c r="BI272" i="6" s="1"/>
  <c r="AG272" i="6" s="1"/>
  <c r="BD272" i="6"/>
  <c r="BH272" i="6"/>
  <c r="AF272" i="6" s="1"/>
  <c r="BJ272" i="6"/>
  <c r="J275" i="6"/>
  <c r="AS275" i="6"/>
  <c r="I276" i="6"/>
  <c r="I275" i="6" s="1"/>
  <c r="J276" i="6"/>
  <c r="L276" i="6"/>
  <c r="Z276" i="6"/>
  <c r="AB276" i="6"/>
  <c r="AC276" i="6"/>
  <c r="AF276" i="6"/>
  <c r="AG276" i="6"/>
  <c r="AH276" i="6"/>
  <c r="AJ276" i="6"/>
  <c r="AK276" i="6"/>
  <c r="AT275" i="6" s="1"/>
  <c r="AL276" i="6"/>
  <c r="AU275" i="6" s="1"/>
  <c r="AO276" i="6"/>
  <c r="AP276" i="6"/>
  <c r="AX276" i="6"/>
  <c r="BD276" i="6"/>
  <c r="BH276" i="6"/>
  <c r="AD276" i="6" s="1"/>
  <c r="BI276" i="6"/>
  <c r="AE276" i="6" s="1"/>
  <c r="BJ276" i="6"/>
  <c r="J285" i="6"/>
  <c r="L285" i="6"/>
  <c r="Z285" i="6"/>
  <c r="AB285" i="6"/>
  <c r="AC285" i="6"/>
  <c r="AD285" i="6"/>
  <c r="AE285" i="6"/>
  <c r="AF285" i="6"/>
  <c r="AG285" i="6"/>
  <c r="AH285" i="6"/>
  <c r="AJ285" i="6"/>
  <c r="AK285" i="6"/>
  <c r="AL285" i="6"/>
  <c r="AO285" i="6"/>
  <c r="H285" i="6" s="1"/>
  <c r="AP285" i="6"/>
  <c r="AX285" i="6" s="1"/>
  <c r="AW285" i="6"/>
  <c r="BD285" i="6"/>
  <c r="BF285" i="6"/>
  <c r="BH285" i="6"/>
  <c r="BI285" i="6"/>
  <c r="BJ285" i="6"/>
  <c r="BM285" i="6"/>
  <c r="J287" i="6"/>
  <c r="L287" i="6"/>
  <c r="Z287" i="6"/>
  <c r="AB287" i="6"/>
  <c r="AC287" i="6"/>
  <c r="AD287" i="6"/>
  <c r="AE287" i="6"/>
  <c r="AF287" i="6"/>
  <c r="AG287" i="6"/>
  <c r="AH287" i="6"/>
  <c r="AJ287" i="6"/>
  <c r="AK287" i="6"/>
  <c r="AL287" i="6"/>
  <c r="AO287" i="6"/>
  <c r="AP287" i="6"/>
  <c r="I287" i="6" s="1"/>
  <c r="AX287" i="6"/>
  <c r="BD287" i="6"/>
  <c r="BH287" i="6"/>
  <c r="BI287" i="6"/>
  <c r="BJ287" i="6"/>
  <c r="BM287" i="6"/>
  <c r="J290" i="6"/>
  <c r="L290" i="6"/>
  <c r="BF290" i="6" s="1"/>
  <c r="Z290" i="6"/>
  <c r="AB290" i="6"/>
  <c r="AC290" i="6"/>
  <c r="AD290" i="6"/>
  <c r="AE290" i="6"/>
  <c r="AF290" i="6"/>
  <c r="AG290" i="6"/>
  <c r="AH290" i="6"/>
  <c r="AJ290" i="6"/>
  <c r="AK290" i="6"/>
  <c r="AL290" i="6"/>
  <c r="AO290" i="6"/>
  <c r="AW290" i="6" s="1"/>
  <c r="BC290" i="6" s="1"/>
  <c r="AP290" i="6"/>
  <c r="AX290" i="6" s="1"/>
  <c r="BD290" i="6"/>
  <c r="BH290" i="6"/>
  <c r="BI290" i="6"/>
  <c r="BJ290" i="6"/>
  <c r="BO290" i="6"/>
  <c r="J292" i="6"/>
  <c r="L292" i="6"/>
  <c r="Z292" i="6"/>
  <c r="AB292" i="6"/>
  <c r="AC292" i="6"/>
  <c r="AD292" i="6"/>
  <c r="AE292" i="6"/>
  <c r="AF292" i="6"/>
  <c r="AG292" i="6"/>
  <c r="AH292" i="6"/>
  <c r="AJ292" i="6"/>
  <c r="AK292" i="6"/>
  <c r="AL292" i="6"/>
  <c r="AO292" i="6"/>
  <c r="H292" i="6" s="1"/>
  <c r="AP292" i="6"/>
  <c r="AX292" i="6" s="1"/>
  <c r="AW292" i="6"/>
  <c r="BD292" i="6"/>
  <c r="BF292" i="6"/>
  <c r="BH292" i="6"/>
  <c r="BI292" i="6"/>
  <c r="BJ292" i="6"/>
  <c r="BO292" i="6"/>
  <c r="J294" i="6"/>
  <c r="L294" i="6"/>
  <c r="Z294" i="6"/>
  <c r="AB294" i="6"/>
  <c r="AC294" i="6"/>
  <c r="AD294" i="6"/>
  <c r="AE294" i="6"/>
  <c r="AF294" i="6"/>
  <c r="AG294" i="6"/>
  <c r="AH294" i="6"/>
  <c r="AJ294" i="6"/>
  <c r="AK294" i="6"/>
  <c r="AL294" i="6"/>
  <c r="AO294" i="6"/>
  <c r="AP294" i="6"/>
  <c r="I294" i="6" s="1"/>
  <c r="AX294" i="6"/>
  <c r="BD294" i="6"/>
  <c r="BH294" i="6"/>
  <c r="BI294" i="6"/>
  <c r="BJ294" i="6"/>
  <c r="BO294" i="6"/>
  <c r="L296" i="6"/>
  <c r="AU296" i="6"/>
  <c r="J297" i="6"/>
  <c r="J296" i="6" s="1"/>
  <c r="L297" i="6"/>
  <c r="BF297" i="6" s="1"/>
  <c r="Z297" i="6"/>
  <c r="AB297" i="6"/>
  <c r="AC297" i="6"/>
  <c r="AD297" i="6"/>
  <c r="AE297" i="6"/>
  <c r="AF297" i="6"/>
  <c r="AG297" i="6"/>
  <c r="AH297" i="6"/>
  <c r="AJ297" i="6"/>
  <c r="AS296" i="6" s="1"/>
  <c r="AK297" i="6"/>
  <c r="AT296" i="6" s="1"/>
  <c r="AL297" i="6"/>
  <c r="AO297" i="6"/>
  <c r="AW297" i="6" s="1"/>
  <c r="AV297" i="6" s="1"/>
  <c r="AP297" i="6"/>
  <c r="AX297" i="6" s="1"/>
  <c r="BD297" i="6"/>
  <c r="BH297" i="6"/>
  <c r="BI297" i="6"/>
  <c r="BJ297" i="6"/>
  <c r="BS297" i="6"/>
  <c r="C2" i="5"/>
  <c r="F2" i="5"/>
  <c r="F4" i="5"/>
  <c r="C6" i="5"/>
  <c r="F6" i="5"/>
  <c r="C8" i="5"/>
  <c r="F8" i="5"/>
  <c r="C10" i="5"/>
  <c r="F10" i="5"/>
  <c r="I10" i="5"/>
  <c r="F14" i="5"/>
  <c r="I14" i="5"/>
  <c r="F15" i="5"/>
  <c r="I15" i="5"/>
  <c r="F16" i="5"/>
  <c r="F22" i="5" s="1"/>
  <c r="I16" i="5"/>
  <c r="I17" i="5"/>
  <c r="I18" i="5"/>
  <c r="I19" i="5"/>
  <c r="I22" i="5"/>
  <c r="AX28" i="6" l="1"/>
  <c r="BI28" i="6"/>
  <c r="AC28" i="6" s="1"/>
  <c r="I297" i="6"/>
  <c r="I296" i="6" s="1"/>
  <c r="H297" i="6"/>
  <c r="H296" i="6" s="1"/>
  <c r="AT289" i="6"/>
  <c r="AS289" i="6"/>
  <c r="I292" i="6"/>
  <c r="I290" i="6"/>
  <c r="AU289" i="6"/>
  <c r="J289" i="6"/>
  <c r="H290" i="6"/>
  <c r="AS284" i="6"/>
  <c r="AU284" i="6"/>
  <c r="J284" i="6"/>
  <c r="J283" i="6" s="1"/>
  <c r="AT284" i="6"/>
  <c r="I285" i="6"/>
  <c r="I284" i="6" s="1"/>
  <c r="H272" i="6"/>
  <c r="I269" i="6"/>
  <c r="AT263" i="6"/>
  <c r="H267" i="6"/>
  <c r="AS263" i="6"/>
  <c r="BH264" i="6"/>
  <c r="AD264" i="6" s="1"/>
  <c r="I264" i="6"/>
  <c r="H264" i="6"/>
  <c r="AT257" i="6"/>
  <c r="AS257" i="6"/>
  <c r="J257" i="6"/>
  <c r="I260" i="6"/>
  <c r="AU257" i="6"/>
  <c r="H260" i="6"/>
  <c r="I258" i="6"/>
  <c r="BH256" i="6"/>
  <c r="H256" i="6"/>
  <c r="BH250" i="6"/>
  <c r="AD250" i="6" s="1"/>
  <c r="H247" i="6"/>
  <c r="I243" i="6"/>
  <c r="BI243" i="6"/>
  <c r="AE243" i="6" s="1"/>
  <c r="BH241" i="6"/>
  <c r="AD241" i="6" s="1"/>
  <c r="H241" i="6"/>
  <c r="BI239" i="6"/>
  <c r="AE239" i="6" s="1"/>
  <c r="AW239" i="6"/>
  <c r="BC239" i="6" s="1"/>
  <c r="I239" i="6"/>
  <c r="H234" i="6"/>
  <c r="I231" i="6"/>
  <c r="H228" i="6"/>
  <c r="H225" i="6"/>
  <c r="BH225" i="6"/>
  <c r="AF225" i="6" s="1"/>
  <c r="BI218" i="6"/>
  <c r="AE218" i="6" s="1"/>
  <c r="AX218" i="6"/>
  <c r="AW209" i="6"/>
  <c r="AV209" i="6" s="1"/>
  <c r="BC209" i="6"/>
  <c r="AT204" i="6"/>
  <c r="AW205" i="6"/>
  <c r="AV205" i="6" s="1"/>
  <c r="BC205" i="6"/>
  <c r="I198" i="6"/>
  <c r="AX201" i="6"/>
  <c r="BC201" i="6" s="1"/>
  <c r="AS198" i="6"/>
  <c r="J198" i="6"/>
  <c r="AW197" i="6"/>
  <c r="H197" i="6"/>
  <c r="BH195" i="6"/>
  <c r="AD195" i="6" s="1"/>
  <c r="BC195" i="6"/>
  <c r="H193" i="6"/>
  <c r="AW191" i="6"/>
  <c r="AV191" i="6" s="1"/>
  <c r="H189" i="6"/>
  <c r="AW189" i="6"/>
  <c r="I187" i="6"/>
  <c r="BC187" i="6"/>
  <c r="BI185" i="6"/>
  <c r="AG185" i="6" s="1"/>
  <c r="BH185" i="6"/>
  <c r="AF185" i="6" s="1"/>
  <c r="AX185" i="6"/>
  <c r="I183" i="6"/>
  <c r="BI183" i="6"/>
  <c r="AE183" i="6" s="1"/>
  <c r="BI179" i="6"/>
  <c r="AE179" i="6" s="1"/>
  <c r="AX179" i="6"/>
  <c r="J172" i="6"/>
  <c r="BI177" i="6"/>
  <c r="AE177" i="6" s="1"/>
  <c r="BH175" i="6"/>
  <c r="AD175" i="6" s="1"/>
  <c r="AW175" i="6"/>
  <c r="BH171" i="6"/>
  <c r="H171" i="6"/>
  <c r="BC171" i="6"/>
  <c r="I171" i="6"/>
  <c r="BI168" i="6"/>
  <c r="AE168" i="6" s="1"/>
  <c r="AX168" i="6"/>
  <c r="AX164" i="6"/>
  <c r="AW162" i="6"/>
  <c r="BH162" i="6"/>
  <c r="AD162" i="6" s="1"/>
  <c r="BH157" i="6"/>
  <c r="AD157" i="6" s="1"/>
  <c r="BC157" i="6"/>
  <c r="I157" i="6"/>
  <c r="AW157" i="6"/>
  <c r="AV157" i="6" s="1"/>
  <c r="J152" i="6"/>
  <c r="AS152" i="6"/>
  <c r="AX155" i="6"/>
  <c r="BI153" i="6"/>
  <c r="AE153" i="6" s="1"/>
  <c r="I153" i="6"/>
  <c r="AL153" i="6"/>
  <c r="BH151" i="6"/>
  <c r="AW151" i="6"/>
  <c r="AX148" i="6"/>
  <c r="BC146" i="6"/>
  <c r="AW146" i="6"/>
  <c r="AV146" i="6" s="1"/>
  <c r="BI144" i="6"/>
  <c r="AC144" i="6" s="1"/>
  <c r="AW144" i="6"/>
  <c r="BH144" i="6"/>
  <c r="AB144" i="6" s="1"/>
  <c r="BH142" i="6"/>
  <c r="AB142" i="6" s="1"/>
  <c r="AW142" i="6"/>
  <c r="BI140" i="6"/>
  <c r="AG140" i="6" s="1"/>
  <c r="AX140" i="6"/>
  <c r="H137" i="6"/>
  <c r="AW137" i="6"/>
  <c r="AX134" i="6"/>
  <c r="BH132" i="6"/>
  <c r="AB132" i="6" s="1"/>
  <c r="BI129" i="6"/>
  <c r="AC129" i="6" s="1"/>
  <c r="BC129" i="6"/>
  <c r="I129" i="6"/>
  <c r="I128" i="6" s="1"/>
  <c r="I120" i="6"/>
  <c r="AS115" i="6"/>
  <c r="J115" i="6"/>
  <c r="BH118" i="6"/>
  <c r="AB118" i="6" s="1"/>
  <c r="AW118" i="6"/>
  <c r="AL116" i="6"/>
  <c r="H116" i="6"/>
  <c r="H115" i="6" s="1"/>
  <c r="AW116" i="6"/>
  <c r="I113" i="6"/>
  <c r="BH111" i="6"/>
  <c r="AB111" i="6" s="1"/>
  <c r="AW106" i="6"/>
  <c r="BH106" i="6"/>
  <c r="AB106" i="6" s="1"/>
  <c r="AV106" i="6"/>
  <c r="BI101" i="6"/>
  <c r="AC101" i="6" s="1"/>
  <c r="BI95" i="6"/>
  <c r="AC95" i="6" s="1"/>
  <c r="I95" i="6"/>
  <c r="AX90" i="6"/>
  <c r="BC90" i="6" s="1"/>
  <c r="BH90" i="6"/>
  <c r="AB90" i="6" s="1"/>
  <c r="BC87" i="6"/>
  <c r="BC81" i="6"/>
  <c r="BI76" i="6"/>
  <c r="AC76" i="6" s="1"/>
  <c r="AX76" i="6"/>
  <c r="BC76" i="6" s="1"/>
  <c r="BI72" i="6"/>
  <c r="AC72" i="6" s="1"/>
  <c r="AX72" i="6"/>
  <c r="BC72" i="6"/>
  <c r="AT62" i="6"/>
  <c r="AS62" i="6"/>
  <c r="C20" i="5"/>
  <c r="H44" i="6"/>
  <c r="AW44" i="6"/>
  <c r="AX43" i="6"/>
  <c r="C27" i="5"/>
  <c r="AW31" i="6"/>
  <c r="AV31" i="6" s="1"/>
  <c r="I31" i="6"/>
  <c r="BC24" i="6"/>
  <c r="I24" i="6"/>
  <c r="AU19" i="6"/>
  <c r="BI20" i="6"/>
  <c r="AC20" i="6" s="1"/>
  <c r="AX20" i="6"/>
  <c r="AX16" i="6"/>
  <c r="BC16" i="6" s="1"/>
  <c r="J12" i="6"/>
  <c r="AU12" i="6"/>
  <c r="I13" i="6"/>
  <c r="C14" i="8"/>
  <c r="C13" i="8"/>
  <c r="C20" i="8"/>
  <c r="C21" i="8" s="1"/>
  <c r="J263" i="6"/>
  <c r="I256" i="6"/>
  <c r="AX256" i="6"/>
  <c r="I234" i="6"/>
  <c r="AX234" i="6"/>
  <c r="AV234" i="6" s="1"/>
  <c r="I228" i="6"/>
  <c r="AX228" i="6"/>
  <c r="BC297" i="6"/>
  <c r="H294" i="6"/>
  <c r="AW294" i="6"/>
  <c r="L289" i="6"/>
  <c r="BF294" i="6"/>
  <c r="AV290" i="6"/>
  <c r="AV285" i="6"/>
  <c r="BC285" i="6"/>
  <c r="H276" i="6"/>
  <c r="H275" i="6" s="1"/>
  <c r="AW276" i="6"/>
  <c r="I272" i="6"/>
  <c r="AX272" i="6"/>
  <c r="BC272" i="6" s="1"/>
  <c r="AL264" i="6"/>
  <c r="AU263" i="6" s="1"/>
  <c r="BC260" i="6"/>
  <c r="L257" i="6"/>
  <c r="BF258" i="6"/>
  <c r="I247" i="6"/>
  <c r="AX247" i="6"/>
  <c r="BC247" i="6" s="1"/>
  <c r="BC243" i="6"/>
  <c r="AV243" i="6"/>
  <c r="C28" i="5"/>
  <c r="F28" i="5" s="1"/>
  <c r="C21" i="5"/>
  <c r="I267" i="6"/>
  <c r="I263" i="6" s="1"/>
  <c r="AX267" i="6"/>
  <c r="AV267" i="6" s="1"/>
  <c r="AS204" i="6"/>
  <c r="AU204" i="6"/>
  <c r="H287" i="6"/>
  <c r="H284" i="6" s="1"/>
  <c r="AW287" i="6"/>
  <c r="L284" i="6"/>
  <c r="L283" i="6" s="1"/>
  <c r="BF287" i="6"/>
  <c r="L275" i="6"/>
  <c r="BF276" i="6"/>
  <c r="AV269" i="6"/>
  <c r="BC269" i="6"/>
  <c r="AV256" i="6"/>
  <c r="AV250" i="6"/>
  <c r="BC250" i="6"/>
  <c r="AV228" i="6"/>
  <c r="AV292" i="6"/>
  <c r="BC292" i="6"/>
  <c r="AV272" i="6"/>
  <c r="BC264" i="6"/>
  <c r="AV264" i="6"/>
  <c r="H262" i="6"/>
  <c r="AW262" i="6"/>
  <c r="H258" i="6"/>
  <c r="AW258" i="6"/>
  <c r="BC256" i="6"/>
  <c r="I241" i="6"/>
  <c r="AX241" i="6"/>
  <c r="BC241" i="6" s="1"/>
  <c r="AV239" i="6"/>
  <c r="AV231" i="6"/>
  <c r="BC231" i="6"/>
  <c r="BC228" i="6"/>
  <c r="BC220" i="6"/>
  <c r="AV220" i="6"/>
  <c r="H164" i="6"/>
  <c r="AW164" i="6"/>
  <c r="BH164" i="6"/>
  <c r="AD164" i="6" s="1"/>
  <c r="BC123" i="6"/>
  <c r="AV123" i="6"/>
  <c r="L12" i="6"/>
  <c r="BF16" i="6"/>
  <c r="BI260" i="6"/>
  <c r="AG260" i="6" s="1"/>
  <c r="AV222" i="6"/>
  <c r="BH218" i="6"/>
  <c r="AD218" i="6" s="1"/>
  <c r="BI211" i="6"/>
  <c r="AE211" i="6" s="1"/>
  <c r="BI209" i="6"/>
  <c r="AE209" i="6" s="1"/>
  <c r="BI205" i="6"/>
  <c r="AE205" i="6" s="1"/>
  <c r="AU172" i="6"/>
  <c r="BC144" i="6"/>
  <c r="AV144" i="6"/>
  <c r="AX116" i="6"/>
  <c r="I116" i="6"/>
  <c r="I115" i="6" s="1"/>
  <c r="BI116" i="6"/>
  <c r="AC116" i="6" s="1"/>
  <c r="AX36" i="6"/>
  <c r="I36" i="6"/>
  <c r="BI36" i="6"/>
  <c r="AC36" i="6" s="1"/>
  <c r="BF267" i="6"/>
  <c r="AW218" i="6"/>
  <c r="BH211" i="6"/>
  <c r="AD211" i="6" s="1"/>
  <c r="AX211" i="6"/>
  <c r="I209" i="6"/>
  <c r="BH207" i="6"/>
  <c r="AD207" i="6" s="1"/>
  <c r="AX207" i="6"/>
  <c r="I205" i="6"/>
  <c r="L204" i="6"/>
  <c r="BH201" i="6"/>
  <c r="AD201" i="6" s="1"/>
  <c r="AV201" i="6"/>
  <c r="BH199" i="6"/>
  <c r="AD199" i="6" s="1"/>
  <c r="AW199" i="6"/>
  <c r="AL199" i="6"/>
  <c r="AU198" i="6" s="1"/>
  <c r="BI197" i="6"/>
  <c r="BI195" i="6"/>
  <c r="AE195" i="6" s="1"/>
  <c r="BI193" i="6"/>
  <c r="AE193" i="6" s="1"/>
  <c r="BI191" i="6"/>
  <c r="AE191" i="6" s="1"/>
  <c r="BI189" i="6"/>
  <c r="AE189" i="6" s="1"/>
  <c r="BI187" i="6"/>
  <c r="AG187" i="6" s="1"/>
  <c r="BC183" i="6"/>
  <c r="AV183" i="6"/>
  <c r="BC179" i="6"/>
  <c r="AV179" i="6"/>
  <c r="BC175" i="6"/>
  <c r="AV175" i="6"/>
  <c r="BC168" i="6"/>
  <c r="AV168" i="6"/>
  <c r="AX162" i="6"/>
  <c r="I162" i="6"/>
  <c r="BI162" i="6"/>
  <c r="AE162" i="6" s="1"/>
  <c r="BC155" i="6"/>
  <c r="AV155" i="6"/>
  <c r="AU152" i="6"/>
  <c r="BF144" i="6"/>
  <c r="AT131" i="6"/>
  <c r="J55" i="6"/>
  <c r="AL56" i="6"/>
  <c r="AU55" i="6" s="1"/>
  <c r="AX44" i="6"/>
  <c r="I44" i="6"/>
  <c r="I19" i="6" s="1"/>
  <c r="BI44" i="6"/>
  <c r="AC44" i="6" s="1"/>
  <c r="AT19" i="6"/>
  <c r="L198" i="6"/>
  <c r="H134" i="6"/>
  <c r="AW134" i="6"/>
  <c r="BH134" i="6"/>
  <c r="AF134" i="6" s="1"/>
  <c r="C18" i="5" s="1"/>
  <c r="J131" i="6"/>
  <c r="BI207" i="6"/>
  <c r="AE207" i="6" s="1"/>
  <c r="J204" i="6"/>
  <c r="H148" i="6"/>
  <c r="H131" i="6" s="1"/>
  <c r="AW148" i="6"/>
  <c r="BH148" i="6"/>
  <c r="AB148" i="6" s="1"/>
  <c r="BC140" i="6"/>
  <c r="AV140" i="6"/>
  <c r="AL134" i="6"/>
  <c r="BI225" i="6"/>
  <c r="AG225" i="6" s="1"/>
  <c r="AX225" i="6"/>
  <c r="BI222" i="6"/>
  <c r="AE222" i="6" s="1"/>
  <c r="BC222" i="6"/>
  <c r="BI220" i="6"/>
  <c r="AG220" i="6" s="1"/>
  <c r="AW211" i="6"/>
  <c r="AW207" i="6"/>
  <c r="BH203" i="6"/>
  <c r="AW203" i="6"/>
  <c r="H201" i="6"/>
  <c r="H198" i="6" s="1"/>
  <c r="BF199" i="6"/>
  <c r="AX197" i="6"/>
  <c r="AV197" i="6" s="1"/>
  <c r="I195" i="6"/>
  <c r="AX193" i="6"/>
  <c r="BC193" i="6" s="1"/>
  <c r="I191" i="6"/>
  <c r="I172" i="6" s="1"/>
  <c r="AX189" i="6"/>
  <c r="BC189" i="6" s="1"/>
  <c r="AW181" i="6"/>
  <c r="BH181" i="6"/>
  <c r="AD181" i="6" s="1"/>
  <c r="H181" i="6"/>
  <c r="AW177" i="6"/>
  <c r="BH177" i="6"/>
  <c r="AD177" i="6" s="1"/>
  <c r="H177" i="6"/>
  <c r="AW173" i="6"/>
  <c r="BH173" i="6"/>
  <c r="AD173" i="6" s="1"/>
  <c r="H173" i="6"/>
  <c r="AX166" i="6"/>
  <c r="I166" i="6"/>
  <c r="H160" i="6"/>
  <c r="H152" i="6" s="1"/>
  <c r="AW160" i="6"/>
  <c r="BH160" i="6"/>
  <c r="AD160" i="6" s="1"/>
  <c r="BF155" i="6"/>
  <c r="AX137" i="6"/>
  <c r="I137" i="6"/>
  <c r="AX132" i="6"/>
  <c r="I132" i="6"/>
  <c r="BI132" i="6"/>
  <c r="AC132" i="6" s="1"/>
  <c r="AS131" i="6"/>
  <c r="H111" i="6"/>
  <c r="H56" i="6"/>
  <c r="H55" i="6" s="1"/>
  <c r="AW56" i="6"/>
  <c r="BH56" i="6"/>
  <c r="AB56" i="6" s="1"/>
  <c r="AV185" i="6"/>
  <c r="H185" i="6"/>
  <c r="AT172" i="6"/>
  <c r="AT152" i="6"/>
  <c r="BC118" i="6"/>
  <c r="AV118" i="6"/>
  <c r="AW101" i="6"/>
  <c r="BH101" i="6"/>
  <c r="AB101" i="6" s="1"/>
  <c r="H101" i="6"/>
  <c r="L62" i="6"/>
  <c r="H43" i="6"/>
  <c r="AW43" i="6"/>
  <c r="BH43" i="6"/>
  <c r="AB43" i="6" s="1"/>
  <c r="H34" i="6"/>
  <c r="AW34" i="6"/>
  <c r="BH34" i="6"/>
  <c r="AB34" i="6" s="1"/>
  <c r="BC28" i="6"/>
  <c r="AV28" i="6"/>
  <c r="BC20" i="6"/>
  <c r="AV20" i="6"/>
  <c r="BC185" i="6"/>
  <c r="AS172" i="6"/>
  <c r="BI171" i="6"/>
  <c r="BI157" i="6"/>
  <c r="AE157" i="6" s="1"/>
  <c r="BI146" i="6"/>
  <c r="AC146" i="6" s="1"/>
  <c r="AU131" i="6"/>
  <c r="AV126" i="6"/>
  <c r="AV113" i="6"/>
  <c r="I111" i="6"/>
  <c r="I62" i="6" s="1"/>
  <c r="AX111" i="6"/>
  <c r="AV111" i="6" s="1"/>
  <c r="BI111" i="6"/>
  <c r="AC111" i="6" s="1"/>
  <c r="AW52" i="6"/>
  <c r="BH52" i="6"/>
  <c r="AB52" i="6" s="1"/>
  <c r="H52" i="6"/>
  <c r="H51" i="6" s="1"/>
  <c r="BC13" i="6"/>
  <c r="AV13" i="6"/>
  <c r="AU115" i="6"/>
  <c r="BC95" i="6"/>
  <c r="AU62" i="6"/>
  <c r="J62" i="6"/>
  <c r="L51" i="6"/>
  <c r="AS19" i="6"/>
  <c r="L19" i="6"/>
  <c r="J19" i="6"/>
  <c r="I12" i="6"/>
  <c r="AT115" i="6"/>
  <c r="BC106" i="6"/>
  <c r="AV95" i="6"/>
  <c r="AV90" i="6"/>
  <c r="H90" i="6"/>
  <c r="AV87" i="6"/>
  <c r="AV83" i="6"/>
  <c r="H83" i="6"/>
  <c r="AV81" i="6"/>
  <c r="AV76" i="6"/>
  <c r="H76" i="6"/>
  <c r="AV72" i="6"/>
  <c r="AV68" i="6"/>
  <c r="H68" i="6"/>
  <c r="AV63" i="6"/>
  <c r="BI31" i="6"/>
  <c r="AC31" i="6" s="1"/>
  <c r="H19" i="6"/>
  <c r="AV16" i="6"/>
  <c r="H16" i="6"/>
  <c r="H12" i="6" s="1"/>
  <c r="I24" i="5"/>
  <c r="I289" i="6" l="1"/>
  <c r="I283" i="6" s="1"/>
  <c r="H289" i="6"/>
  <c r="H283" i="6" s="1"/>
  <c r="H263" i="6"/>
  <c r="H257" i="6"/>
  <c r="I257" i="6"/>
  <c r="H204" i="6"/>
  <c r="BC234" i="6"/>
  <c r="C19" i="5"/>
  <c r="C16" i="5"/>
  <c r="AV193" i="6"/>
  <c r="BC191" i="6"/>
  <c r="C17" i="5"/>
  <c r="I152" i="6"/>
  <c r="BC151" i="6"/>
  <c r="AV151" i="6"/>
  <c r="BC142" i="6"/>
  <c r="AV142" i="6"/>
  <c r="H62" i="6"/>
  <c r="BC31" i="6"/>
  <c r="C16" i="8"/>
  <c r="C22" i="8" s="1"/>
  <c r="B25" i="8" s="1"/>
  <c r="C25" i="8" s="1"/>
  <c r="BC160" i="6"/>
  <c r="AV160" i="6"/>
  <c r="H172" i="6"/>
  <c r="AV181" i="6"/>
  <c r="BC181" i="6"/>
  <c r="BC203" i="6"/>
  <c r="AV203" i="6"/>
  <c r="AV44" i="6"/>
  <c r="BC44" i="6"/>
  <c r="AV218" i="6"/>
  <c r="BC218" i="6"/>
  <c r="BC276" i="6"/>
  <c r="AV276" i="6"/>
  <c r="C14" i="5"/>
  <c r="AV177" i="6"/>
  <c r="BC177" i="6"/>
  <c r="BC134" i="6"/>
  <c r="AV134" i="6"/>
  <c r="BC199" i="6"/>
  <c r="AV199" i="6"/>
  <c r="BC262" i="6"/>
  <c r="AV262" i="6"/>
  <c r="BC267" i="6"/>
  <c r="C15" i="5"/>
  <c r="BC34" i="6"/>
  <c r="AV34" i="6"/>
  <c r="BC111" i="6"/>
  <c r="I131" i="6"/>
  <c r="AV173" i="6"/>
  <c r="BC173" i="6"/>
  <c r="AV207" i="6"/>
  <c r="BC207" i="6"/>
  <c r="BC148" i="6"/>
  <c r="AV148" i="6"/>
  <c r="BC197" i="6"/>
  <c r="I204" i="6"/>
  <c r="BC164" i="6"/>
  <c r="AV164" i="6"/>
  <c r="C29" i="5"/>
  <c r="F29" i="5" s="1"/>
  <c r="AV52" i="6"/>
  <c r="BC52" i="6"/>
  <c r="BC36" i="6"/>
  <c r="AV36" i="6"/>
  <c r="BC43" i="6"/>
  <c r="AV43" i="6"/>
  <c r="AV137" i="6"/>
  <c r="BC137" i="6"/>
  <c r="AV247" i="6"/>
  <c r="BC287" i="6"/>
  <c r="AV287" i="6"/>
  <c r="J299" i="6"/>
  <c r="AV101" i="6"/>
  <c r="BC101" i="6"/>
  <c r="BC56" i="6"/>
  <c r="AV56" i="6"/>
  <c r="BC132" i="6"/>
  <c r="AV132" i="6"/>
  <c r="AV166" i="6"/>
  <c r="BC166" i="6"/>
  <c r="AV211" i="6"/>
  <c r="BC211" i="6"/>
  <c r="BC225" i="6"/>
  <c r="AV225" i="6"/>
  <c r="AV189" i="6"/>
  <c r="BC162" i="6"/>
  <c r="AV162" i="6"/>
  <c r="AV116" i="6"/>
  <c r="BC116" i="6"/>
  <c r="BC258" i="6"/>
  <c r="AV258" i="6"/>
  <c r="AV241" i="6"/>
  <c r="BC294" i="6"/>
  <c r="AV294" i="6"/>
  <c r="C22" i="5" l="1"/>
  <c r="C24" i="8"/>
  <c r="I28" i="5"/>
  <c r="I29" i="5" l="1"/>
  <c r="H37" i="1"/>
  <c r="I37" i="1" s="1"/>
  <c r="F37" i="1" s="1"/>
  <c r="C27" i="8"/>
  <c r="H38" i="1"/>
  <c r="I38" i="1" s="1"/>
  <c r="F38" i="1" s="1"/>
  <c r="G39" i="1"/>
  <c r="I25" i="1" s="1"/>
  <c r="D26" i="1"/>
  <c r="H36" i="1"/>
  <c r="G36" i="1"/>
  <c r="D28" i="1"/>
  <c r="H39" i="1" l="1"/>
  <c r="I27" i="1" s="1"/>
  <c r="F39" i="1"/>
  <c r="I39" i="1"/>
  <c r="I28" i="1" s="1"/>
  <c r="J38" i="1" l="1"/>
  <c r="J37" i="1"/>
  <c r="I29" i="1"/>
  <c r="J39" i="1"/>
</calcChain>
</file>

<file path=xl/sharedStrings.xml><?xml version="1.0" encoding="utf-8"?>
<sst xmlns="http://schemas.openxmlformats.org/spreadsheetml/2006/main" count="2139" uniqueCount="834">
  <si>
    <t xml:space="preserve">Datum: </t>
  </si>
  <si>
    <t xml:space="preserve"> </t>
  </si>
  <si>
    <t>Stavba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</si>
  <si>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</si>
  <si>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</si>
  <si>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</si>
  <si>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</si>
  <si>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</si>
  <si>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</si>
  <si>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%</t>
  </si>
  <si>
    <t xml:space="preserve">DPH </t>
  </si>
  <si>
    <t>Číslo a název objektu / provozního souboru</t>
  </si>
  <si>
    <t xml:space="preserve">Investor : </t>
  </si>
  <si>
    <t>Základ v Kč pro DPH</t>
  </si>
  <si>
    <t>Celkem za stavbu v Kč</t>
  </si>
  <si>
    <t>Cena celkem  Kč</t>
  </si>
  <si>
    <t>DPH celkem Kč</t>
  </si>
  <si>
    <t>Cena celkem za stavbu v Kč</t>
  </si>
  <si>
    <t>D.1.1</t>
  </si>
  <si>
    <t xml:space="preserve">Souhrnný rozpočet stavby </t>
  </si>
  <si>
    <t>areál ZOO Zlín - Lešná</t>
  </si>
  <si>
    <t>ZOO a zámek Zlín - Lešná, p.o.</t>
  </si>
  <si>
    <t>Lukovská 112, 763 14 Zlín</t>
  </si>
  <si>
    <t>OOO90026</t>
  </si>
  <si>
    <t>CZ00090026</t>
  </si>
  <si>
    <t>IČO :</t>
  </si>
  <si>
    <t>Architektonicko-stavební řešení + VN</t>
  </si>
  <si>
    <t>Všeobecné podmínky:</t>
  </si>
  <si>
    <t xml:space="preserve">1/ Zhotovitel je povinen posoudit věcnou náplň i výměry soupisu prací a dodávek ve vazbě na dostupnou platnou projektovou dokumentaci a skutečný stav výstavby v době zpracování nabídky a v případě zjištěných nesrovnalostí tyto uvést ve zvláštní příloze nabídky, členěné do kapitol dle soupisu prací a dodávek, ve kterých budou tyto nesrovnalosti zjištěny. Pokud tak neučiní, nebude brán zřetel na jeho případné požadavky na vícepráce. </t>
  </si>
  <si>
    <t>2/ Zhotovitel je povinen při vypracování nabídky zohlednit všechny údaje a požadavky uvedené v projektu pro stavební povolení, v dokumentaci pro provedení stavby a v dalších dostupných stupních projektové dokumentace. Zejména při stanovení jednotkových cen je bezpodmínečně nutné, aby byly zakalkulovány veškeré konstrukce a jejich části dle dostupných výkresů detailů a popisů. Pokud tak neučiní, nebude v průběhu provádění stavby brán zřetel na jeho požadavky na uznání víceprací vyplývajících z údajů a požadavků uvedených ve výše zmíněné projektové dokumentaci.</t>
  </si>
  <si>
    <t>3/ Zhotovitel je povinen si před předáním nabídky prohlédnout a zkontrolovat PD se soupisem prací a dodávek, prohlédnout a prozkoumat staveniště a jeho okolí a obstarat si všechny nezbytné a přístupné informace,které mu umožní zpracovat nabídku úplně a jednoznačně. Před podáním nabídky si zhotovitel může vyžádat konzultace u zpracovatele dokumentace. Pozdější požadavky, plynoucí z omylu či neznalosti PD a poměrů na staveništi jsou nepřijatelné a nebude k nim přihlíženo jako k oprávněným.</t>
  </si>
  <si>
    <t xml:space="preserve">4/ Veškeré výměry jsou čisté plochy, případné ztratné, prořezy je nutné zohlednit v jednotkové ceně - pokud není uvedeno jinak. </t>
  </si>
  <si>
    <t xml:space="preserve">5/ Pokud není uvedeno jinak, je nutné do jednotkové ceny zahrnout dodávku, montáž, dopravu a přípomoce. </t>
  </si>
  <si>
    <t>6/ Jednotkové ceny musí zahrnovat všechny součásti nutné k provedení, jako kotvící materiál a podobně.</t>
  </si>
  <si>
    <t>7/ Pokud jsou uvedeni výrobci jedná se pouze o příklad standardu - kvality.</t>
  </si>
  <si>
    <t>8/ Při stanovení jednotkové ceny je nutné vycházet ze všech částí projektové dokumentace.</t>
  </si>
  <si>
    <t xml:space="preserve">9/ Stavební výpomoce - jedná se o vytvoření drážek, drobné stavební otvory a jejich zapravení a ostatní drobné stavební práce pro TZB a elektro. Tuto skutečnost je nutné zohlednit do jednotkové ceny této položky navíc nebudou hrazeny. </t>
  </si>
  <si>
    <t>10/ Při stanovení jednotkové ceny jednotlivých výrobků je nutno vycházet z popisů uvedených v knize podrobnosti, příslušných obrazových příloh a technologických předpisů.</t>
  </si>
  <si>
    <t>Zařízení staveniště:</t>
  </si>
  <si>
    <t xml:space="preserve">1/ Zhotovitel je povinen zajistit včas v potřebném rozsahu zásobování staveniště vodou a udržovat je po celou dobu trvání stavby. Veškeré, s tím spojené náklady a náklady za spotřebovanou vodu pro účely stavby, nese zhotovitel. Voda musí být zajištěna za obvyklou úplatu též pro ostatní na stavbě se podílející firmy. Zhotovitel zajistí v tomto smyslu příslušné dohody se všemi na stavbě se přímo podílejícími firmami. </t>
  </si>
  <si>
    <t xml:space="preserve">2/ Zhotovitel je povinen obstarat včas a v rozsahu odpovídajícím potřebám stavby komunikační pojítka (telefon, fax) a po celou dobu stavby je udržovat v provozu. Náklady spojené s instalací a likvidací těchto komunikačních pojítek, jakož i náklady na jejich provoz a běžné poplatky nese zhotovitel. </t>
  </si>
  <si>
    <t xml:space="preserve">3/ Všem ostatním na stavbě zúčastněným firmám musí být pro služební účely umožněno použití komunikačních pojítek za obvyklou úplatu. Zhotovitel zajistí v tomto směru příslušné dohody s ostatními na stavbě se podílejícími firmami. </t>
  </si>
  <si>
    <t xml:space="preserve">4/ Zhotovitel je povinen poskytnout trvale všem na stavbě se podílejícím firmám  k dispozici za přiměřený poplatek skladovací prostor a shromažďovací místnost, pokud to bude potřebné. Eventuelní potřebné úpravy v této souvislosti provede na své náklady zhotovitel. </t>
  </si>
  <si>
    <t>5/ Zhotovitel je povinen v rámci zařízení staveniště zřídit 1 kancelář pro potřeby činnosti technického a autorského dozoru investora s možností vytápění, vybavenou 1 stolem, 2 židlemi, skříní. Dále je zhotovitel povinen zajistit vhodnou místnost pro konání kontrolních dnů stavby.</t>
  </si>
  <si>
    <t>6/ Pokud není v soupisu prací a dodávek stanoveno jinak, je zhotovení a údržba event. nutných dopravních komunikací a cest na stavbě v odpovídajícím provedení, pokud jsou třeba pro provádění prací a výkonů zhotovitele, a následně jejich odstranění a znovuuvedení do původního stavu, věcí zhotovitele. Tyto dopravní komunikace a cesty musí být trvale k dispozici i všem ostatním, na stavbě se podílejícím firmám. Za tuto činnost nebude poskytnuta žádná zvláštní náhrada</t>
  </si>
  <si>
    <t xml:space="preserve">7/ Obstarání záboru veřejných prostranství, dočasných omezení dopravních označení a dalších skutečností nutných k provádění prací při střetu s provozem na veřejných komunikacích je povinností zhotovitele a nebude zvlášť hrazeno. Zhotovitel hradí rovněž všechny správní poplatky spojené s používáním veřejných ploch a komunikací. Zhotovitel zajistí vybudování informační cedule stavby dle pokynu objednatele. Zajistí rovněž případnou spolupráci v rámci akcí public-relations organisovaných objednatelem. </t>
  </si>
  <si>
    <t xml:space="preserve">8/ Spotřeba veškeřých médií je součásti ceny jenotlivých položek. Spotřeba médií během stavby bude přefakurováno z investora na dodavatele. </t>
  </si>
  <si>
    <t>9/ Součástí jednotkové ceny na jednotlivá zařízení jako výtahy, jeřáb jsou i náklady na obsluhu.</t>
  </si>
  <si>
    <t xml:space="preserve">D.1.2.5 </t>
  </si>
  <si>
    <t>Elektroinstalace</t>
  </si>
  <si>
    <t>V ceně stavebního objektu není obsažena cena sadových úprav a vybavení (venkovní imobiliář).</t>
  </si>
  <si>
    <t>KARIBUNI II - PŘÍSTŘEŠEK U VÝBĚHU B</t>
  </si>
  <si>
    <t xml:space="preserve">Rekapitulace nákladů </t>
  </si>
  <si>
    <t/>
  </si>
  <si>
    <t>Poznámka:</t>
  </si>
  <si>
    <t>Datum, razítko a podpis</t>
  </si>
  <si>
    <t>Zhotovitel</t>
  </si>
  <si>
    <t>Objednatel</t>
  </si>
  <si>
    <t>Projektant</t>
  </si>
  <si>
    <t>Celkem včetně DPH</t>
  </si>
  <si>
    <t>DPH 21%</t>
  </si>
  <si>
    <t>Základ 21%</t>
  </si>
  <si>
    <t>Celkem bez DPH</t>
  </si>
  <si>
    <t>DPH 12%</t>
  </si>
  <si>
    <t>Základ 12%</t>
  </si>
  <si>
    <t>Základ 0%</t>
  </si>
  <si>
    <t>VORN celkem z obj.</t>
  </si>
  <si>
    <t>VORN celkem</t>
  </si>
  <si>
    <t>NUS celkem z obj.</t>
  </si>
  <si>
    <t>DN celkem z obj.</t>
  </si>
  <si>
    <t>NUS celkem</t>
  </si>
  <si>
    <t>DN celkem</t>
  </si>
  <si>
    <t>ZRN celkem</t>
  </si>
  <si>
    <t>Přesun hmot a sutí</t>
  </si>
  <si>
    <t>Ostatní materiál</t>
  </si>
  <si>
    <t>NUS z rozpočtu</t>
  </si>
  <si>
    <t>Montáž</t>
  </si>
  <si>
    <t>Ostatní</t>
  </si>
  <si>
    <t>Dodávky</t>
  </si>
  <si>
    <t>"M"</t>
  </si>
  <si>
    <t>Provozní vlivy</t>
  </si>
  <si>
    <t>Územní vlivy</t>
  </si>
  <si>
    <t>Kulturní památka</t>
  </si>
  <si>
    <t>PSV</t>
  </si>
  <si>
    <t>Mimostav. doprava</t>
  </si>
  <si>
    <t>Bez pevné podl.</t>
  </si>
  <si>
    <t>Zařízení staveniště</t>
  </si>
  <si>
    <t>Práce přesčas</t>
  </si>
  <si>
    <t>HSV</t>
  </si>
  <si>
    <t>Náklady na umístění stavby (NUS)</t>
  </si>
  <si>
    <t>C</t>
  </si>
  <si>
    <t>Doplňkové náklady</t>
  </si>
  <si>
    <t>B</t>
  </si>
  <si>
    <t>Základní rozpočtové náklady</t>
  </si>
  <si>
    <t>A</t>
  </si>
  <si>
    <t>Rozpočtové náklady v Kč</t>
  </si>
  <si>
    <t>Datum:</t>
  </si>
  <si>
    <t>Zpracoval:</t>
  </si>
  <si>
    <t>JKSO:</t>
  </si>
  <si>
    <t>Položek:</t>
  </si>
  <si>
    <t>Konec výstavby:</t>
  </si>
  <si>
    <t>Začátek výstavby:</t>
  </si>
  <si>
    <t>IČO/DIČ:</t>
  </si>
  <si>
    <t>Zhotovitel:</t>
  </si>
  <si>
    <t>Lokalita:</t>
  </si>
  <si>
    <t>Projektant:</t>
  </si>
  <si>
    <t>D.1.1  Architektonicko-stavební řešení</t>
  </si>
  <si>
    <t>Část rozpočtu:</t>
  </si>
  <si>
    <t>00090026/CZ00090026</t>
  </si>
  <si>
    <t>Objednatel:</t>
  </si>
  <si>
    <t>Název stavby:</t>
  </si>
  <si>
    <t>Krycí list rozpočtu</t>
  </si>
  <si>
    <t>Celkem bez DPH:</t>
  </si>
  <si>
    <t>- provoz investora</t>
  </si>
  <si>
    <t>1</t>
  </si>
  <si>
    <t>Provozní náklady investora a dalších osob</t>
  </si>
  <si>
    <t>P</t>
  </si>
  <si>
    <t>_</t>
  </si>
  <si>
    <t>Â _</t>
  </si>
  <si>
    <t>07VRN_</t>
  </si>
  <si>
    <t>99</t>
  </si>
  <si>
    <t>RTS II / 2025</t>
  </si>
  <si>
    <t>soubor</t>
  </si>
  <si>
    <t>071002VRN</t>
  </si>
  <si>
    <t>97</t>
  </si>
  <si>
    <t>07VRN</t>
  </si>
  <si>
    <t>- zrušení staveniště, úprava povrchů, úklid</t>
  </si>
  <si>
    <t>Odstranění zařízení staveniště</t>
  </si>
  <si>
    <t>03VRN_</t>
  </si>
  <si>
    <t>039002VRN</t>
  </si>
  <si>
    <t>96</t>
  </si>
  <si>
    <t>- zabezpečení - oplocení, značení</t>
  </si>
  <si>
    <t>Zabezpečení staveniště</t>
  </si>
  <si>
    <t>034002VRN</t>
  </si>
  <si>
    <t>95</t>
  </si>
  <si>
    <t>- zřízení a provoz staveniště, vybudování přípojek</t>
  </si>
  <si>
    <t>030001VRN</t>
  </si>
  <si>
    <t>94</t>
  </si>
  <si>
    <t>03VRN</t>
  </si>
  <si>
    <t>- výrobní - dílenská dokumentace, dokumentace skutečného provedení</t>
  </si>
  <si>
    <t>Projektové práce</t>
  </si>
  <si>
    <t>01VRN_</t>
  </si>
  <si>
    <t>013002VRN</t>
  </si>
  <si>
    <t>93</t>
  </si>
  <si>
    <t>- vytýčení stavby, geometrický plán</t>
  </si>
  <si>
    <t>Geodetické práce</t>
  </si>
  <si>
    <t>012002VRN</t>
  </si>
  <si>
    <t>92</t>
  </si>
  <si>
    <t>Průzkumy, geodetické a projektové práce</t>
  </si>
  <si>
    <t>01VRN</t>
  </si>
  <si>
    <t>Vedlejší a ostatní rozpočtové náklady</t>
  </si>
  <si>
    <t>VORN</t>
  </si>
  <si>
    <t>- RHS 60/80</t>
  </si>
  <si>
    <t>0,28*237,0*1,15</t>
  </si>
  <si>
    <t>- RHS 120/60</t>
  </si>
  <si>
    <t>0,36*8,8*1,15</t>
  </si>
  <si>
    <t>- UPE 100</t>
  </si>
  <si>
    <t>0,44*7,1*1,15</t>
  </si>
  <si>
    <t>- UPE 120</t>
  </si>
  <si>
    <t>0,52*60,8*1,15</t>
  </si>
  <si>
    <t>- UPE 140</t>
  </si>
  <si>
    <t>0,6*18,5*1,15</t>
  </si>
  <si>
    <t>základní a dvojnásobný krycí</t>
  </si>
  <si>
    <t>Nátěr polyuretanový kov. konstr. z+2x email</t>
  </si>
  <si>
    <t>78_</t>
  </si>
  <si>
    <t>783_</t>
  </si>
  <si>
    <t>7</t>
  </si>
  <si>
    <t>m2</t>
  </si>
  <si>
    <t>783271031R00</t>
  </si>
  <si>
    <t>91</t>
  </si>
  <si>
    <t>Nátěry</t>
  </si>
  <si>
    <t>783</t>
  </si>
  <si>
    <t>- výplně zábradlí</t>
  </si>
  <si>
    <t>(8,4+14,3+19,5+12,1) *1,1</t>
  </si>
  <si>
    <t>oka 38/38 mm, prům. drátu 1,6 mm vč. montážního ocel. pozink. rámu prům. 10 mm</t>
  </si>
  <si>
    <t>D+M - výplň zábradlí - nerezová proplétaná síť - barva černá RAL 9005</t>
  </si>
  <si>
    <t>76_</t>
  </si>
  <si>
    <t>767_</t>
  </si>
  <si>
    <t>2</t>
  </si>
  <si>
    <t>Vlastní</t>
  </si>
  <si>
    <t>767-PC-03VD</t>
  </si>
  <si>
    <t>90</t>
  </si>
  <si>
    <t>- ocelová konstrukce</t>
  </si>
  <si>
    <t>4644</t>
  </si>
  <si>
    <t>včetně zinkování, montážního materiálu a přesunu hmot</t>
  </si>
  <si>
    <t>D+M - venkovní ocelová pozinkovaná konstrukce vyhlídky</t>
  </si>
  <si>
    <t>kg</t>
  </si>
  <si>
    <t>767-PC-02VD</t>
  </si>
  <si>
    <t>89</t>
  </si>
  <si>
    <t>- nepravidelné kladení plechů</t>
  </si>
  <si>
    <t>(5,8*5,0 + 2,3*7,9 + 5,8*3,9)*1,55</t>
  </si>
  <si>
    <t>Dodávka vlnitého plechu tl. 0,6 mm - povrchová úprava corten - dodávka investora</t>
  </si>
  <si>
    <r>
      <t>Dodávka vlnitého plechu tl. 0,6 mm - povrchová úprava corten</t>
    </r>
    <r>
      <rPr>
        <b/>
        <sz val="10"/>
        <color rgb="FFFF0000"/>
        <rFont val="Arial"/>
        <family val="2"/>
        <charset val="238"/>
      </rPr>
      <t xml:space="preserve"> - dodávka investora</t>
    </r>
  </si>
  <si>
    <t>767-PC-01VD</t>
  </si>
  <si>
    <t>88</t>
  </si>
  <si>
    <t>- střecha</t>
  </si>
  <si>
    <t>5,8*5,0 + 2,3*7,9 + 5,8*3,9</t>
  </si>
  <si>
    <t>včetně montážního materiálu a přesunu hmot</t>
  </si>
  <si>
    <t>Montáž krytiny střech, tvar. plechem, šroubováním</t>
  </si>
  <si>
    <t>767392112R00</t>
  </si>
  <si>
    <t>87</t>
  </si>
  <si>
    <t>Konstrukce zámečnické</t>
  </si>
  <si>
    <t>767</t>
  </si>
  <si>
    <t>Přesun hmot pro truhlářské konstrukce, v objektech výšky do 6 m</t>
  </si>
  <si>
    <t>766_</t>
  </si>
  <si>
    <t>5</t>
  </si>
  <si>
    <t>t</t>
  </si>
  <si>
    <t>998766101R00</t>
  </si>
  <si>
    <t>86</t>
  </si>
  <si>
    <t>- včetně spojovacích prostředků a podkladní konstrukce</t>
  </si>
  <si>
    <t>D+M - nápis "KARIBUNI" z kmenů vinné révy</t>
  </si>
  <si>
    <t>kus</t>
  </si>
  <si>
    <t>766-PC-01VD</t>
  </si>
  <si>
    <t>85</t>
  </si>
  <si>
    <t>- osazení vyřezávaných panelů 600/1300</t>
  </si>
  <si>
    <t>3,8*12</t>
  </si>
  <si>
    <t>Montáž dřevěných panelů s pomocnou konstrukcí - panely dodávkou investora</t>
  </si>
  <si>
    <t>m</t>
  </si>
  <si>
    <r>
      <t xml:space="preserve">Montáž dřevěných panelů s pomocnou konstrukcí </t>
    </r>
    <r>
      <rPr>
        <b/>
        <sz val="10"/>
        <color rgb="FFFF0000"/>
        <rFont val="Arial"/>
        <family val="2"/>
        <charset val="238"/>
      </rPr>
      <t>- panely dodávkou investora</t>
    </r>
  </si>
  <si>
    <t>766711031RT1</t>
  </si>
  <si>
    <t>84</t>
  </si>
  <si>
    <t>Konstrukce truhlářské</t>
  </si>
  <si>
    <t>766</t>
  </si>
  <si>
    <t>Přesun hmot pro tesařské konstrukce, v objektech výšky do 12 m</t>
  </si>
  <si>
    <t>762_</t>
  </si>
  <si>
    <t>998762102R00</t>
  </si>
  <si>
    <t>83</t>
  </si>
  <si>
    <t>- sloupky a příčníky</t>
  </si>
  <si>
    <t>0,46+1,14</t>
  </si>
  <si>
    <t>- výměny</t>
  </si>
  <si>
    <t>0,17</t>
  </si>
  <si>
    <t>- krokve</t>
  </si>
  <si>
    <t>0,84+1,01+0,66</t>
  </si>
  <si>
    <t>- vaznice</t>
  </si>
  <si>
    <t>2,0+3,68</t>
  </si>
  <si>
    <t>- sloupy</t>
  </si>
  <si>
    <t>0,51+0,86+0,45+0,25+0,78+0,47+0,74</t>
  </si>
  <si>
    <t>Spojovací prostředky pro vázané konstrukce</t>
  </si>
  <si>
    <t>m3</t>
  </si>
  <si>
    <t>762795000R00</t>
  </si>
  <si>
    <t>82</t>
  </si>
  <si>
    <t>- sezení</t>
  </si>
  <si>
    <t>0,55*1,1</t>
  </si>
  <si>
    <t>- podlaha + čela</t>
  </si>
  <si>
    <t>6,0*1,1</t>
  </si>
  <si>
    <t>Řezivo sušené omítané DB tl. 50 mm, 4 m</t>
  </si>
  <si>
    <t>M</t>
  </si>
  <si>
    <t>605560068</t>
  </si>
  <si>
    <t>81</t>
  </si>
  <si>
    <t>11,0</t>
  </si>
  <si>
    <t>- podlaha + čela podlahy</t>
  </si>
  <si>
    <t>120,0</t>
  </si>
  <si>
    <t>včetně nepravidelného ukončení a drážkování fošen</t>
  </si>
  <si>
    <t>Montáž podlahy z fošen hrubých na sraz, řezivo ve specifikaci</t>
  </si>
  <si>
    <t>762520020RAI</t>
  </si>
  <si>
    <t>80</t>
  </si>
  <si>
    <t>- rošt</t>
  </si>
  <si>
    <t>0,9*1,1</t>
  </si>
  <si>
    <t>Řezivo sušené neomítané DB tl. 60 mm, š. nad 150 mm, 2,5 až 4,0 m</t>
  </si>
  <si>
    <t>605560004</t>
  </si>
  <si>
    <t>79</t>
  </si>
  <si>
    <t>250,0</t>
  </si>
  <si>
    <t>Montáž dřevěného dubového roštu pro podlahu, řezivo ve specifikaci</t>
  </si>
  <si>
    <t>762343101R00</t>
  </si>
  <si>
    <t>78</t>
  </si>
  <si>
    <t>- konstrukce sezení</t>
  </si>
  <si>
    <t>43,0 *1,1</t>
  </si>
  <si>
    <t>21,9 *1,1</t>
  </si>
  <si>
    <t>- příčníky - zábradlí</t>
  </si>
  <si>
    <t>(8,4+14,3+19,5+12,1) *2 *1,1</t>
  </si>
  <si>
    <t>- příčníky - stěny</t>
  </si>
  <si>
    <t>(1,2+5,6+1,2+3,3) *3 *1,1</t>
  </si>
  <si>
    <t>Dodávka kulatiny prům. 100 mm eukalyptového řeziva - dodávka investora</t>
  </si>
  <si>
    <r>
      <t xml:space="preserve">Dodávka kulatiny prům. 100 mm eukalyptového řeziva </t>
    </r>
    <r>
      <rPr>
        <b/>
        <sz val="10"/>
        <color rgb="FFFF0000"/>
        <rFont val="Arial"/>
        <family val="2"/>
        <charset val="238"/>
      </rPr>
      <t>- dodávka investora</t>
    </r>
  </si>
  <si>
    <t>762-PC-01VD</t>
  </si>
  <si>
    <t>77</t>
  </si>
  <si>
    <t>43,0</t>
  </si>
  <si>
    <t>21,9</t>
  </si>
  <si>
    <t>Montáž prostorových vázaných konstrukcí z kulatiny, plochy do 120 cm2</t>
  </si>
  <si>
    <t>762731110R00</t>
  </si>
  <si>
    <t>76</t>
  </si>
  <si>
    <t>(8,4+14,3+19,5+12,1) *2</t>
  </si>
  <si>
    <t>(1,2+5,6+1,2+3,3) *3</t>
  </si>
  <si>
    <t>Montáž konstrukce stěn z kulatiny, plochy do 120 cm2</t>
  </si>
  <si>
    <t>762113110R00</t>
  </si>
  <si>
    <t>75</t>
  </si>
  <si>
    <t>- sloupky zábradlí</t>
  </si>
  <si>
    <t>26*1,0*1,1</t>
  </si>
  <si>
    <t>- vaznice a krokve</t>
  </si>
  <si>
    <t>(155,8+5,0*7+4,7*10+3,9*7)*1,1</t>
  </si>
  <si>
    <t>Dodávka kulatiny prům. 175 mm eukalyptového řeziva - dodávka investora</t>
  </si>
  <si>
    <r>
      <t>Dodávka kulatiny prům. 175 mm eukalyptového řeziva</t>
    </r>
    <r>
      <rPr>
        <b/>
        <sz val="10"/>
        <color rgb="FFFF0000"/>
        <rFont val="Arial"/>
        <family val="2"/>
        <charset val="238"/>
      </rPr>
      <t xml:space="preserve"> - dodávka investora</t>
    </r>
  </si>
  <si>
    <t>762-PC-02VD</t>
  </si>
  <si>
    <t>74</t>
  </si>
  <si>
    <t>26*1,0</t>
  </si>
  <si>
    <t>155,8+5,0*7+4,7*10+3,9*7</t>
  </si>
  <si>
    <t>Montáž prostorových vázaných konstrukcí z kulatiny, plochy do 288 cm2</t>
  </si>
  <si>
    <t>762731130R00</t>
  </si>
  <si>
    <t>73</t>
  </si>
  <si>
    <t>- sloupy a vaznice</t>
  </si>
  <si>
    <t>(4,3*3+3,1*15+2,8*11+3,9*3+50,2)*1,1</t>
  </si>
  <si>
    <t>Dodávka kulatiny prům. 225 mm eukalyptového řeziva - dodávka investora</t>
  </si>
  <si>
    <r>
      <t xml:space="preserve">Dodávka kulatiny prům. 225 mm eukalyptového řeziva </t>
    </r>
    <r>
      <rPr>
        <b/>
        <sz val="10"/>
        <color rgb="FFFF0000"/>
        <rFont val="Arial"/>
        <family val="2"/>
        <charset val="238"/>
      </rPr>
      <t>- dodávka investora</t>
    </r>
  </si>
  <si>
    <t>762-PC-03VD</t>
  </si>
  <si>
    <t>72</t>
  </si>
  <si>
    <t>4,3*3+3,1*15+2,8*11+3,9*3+50,2</t>
  </si>
  <si>
    <t>Montáž prostorových vázaných konstrukcí z kulatiny, plochy do 450 cm2</t>
  </si>
  <si>
    <t>762731140R00</t>
  </si>
  <si>
    <t>71</t>
  </si>
  <si>
    <t>- laťování z kulatiny - střecha</t>
  </si>
  <si>
    <t>(5,8*5,0 + 2,3*7,9 + 5,8*3,9)*1,1*4</t>
  </si>
  <si>
    <t>(8,4+14,3+19,5+12,1) *0,9 *1,1*7</t>
  </si>
  <si>
    <t>- výplně stěny</t>
  </si>
  <si>
    <t>(1,2+5,6+1,2+3,3) *2,6 *1,1*7</t>
  </si>
  <si>
    <t>(9,6 + 7,3 + 17,1)*1,1*14</t>
  </si>
  <si>
    <t>Dodávka kulatiny prům. 50 mm eukalyptového řeziva - dodávka investora</t>
  </si>
  <si>
    <r>
      <t xml:space="preserve">Dodávka kulatiny prům. 50 mm eukalyptového řeziva </t>
    </r>
    <r>
      <rPr>
        <b/>
        <sz val="10"/>
        <color rgb="FFFF0000"/>
        <rFont val="Arial"/>
        <family val="2"/>
        <charset val="238"/>
      </rPr>
      <t>- dodávka investora</t>
    </r>
  </si>
  <si>
    <t>762-PC-04VD</t>
  </si>
  <si>
    <t>70</t>
  </si>
  <si>
    <t>Montáž laťování rozteč do 36 cm nad 10 m2</t>
  </si>
  <si>
    <t>765799222R00</t>
  </si>
  <si>
    <t>69</t>
  </si>
  <si>
    <t>Montáž bednění stěn z tyčoviny s mezerami 80 - 160 mm</t>
  </si>
  <si>
    <t>762137112R00</t>
  </si>
  <si>
    <t>68</t>
  </si>
  <si>
    <t>(1,2+5,6+1,2+3,3) *2,0</t>
  </si>
  <si>
    <t>Montáž bednění stěn z tyčoviny s mezerami 40 - 60 mm</t>
  </si>
  <si>
    <t>67</t>
  </si>
  <si>
    <t>9,6 + 7,3 + 17,1</t>
  </si>
  <si>
    <t>Montáž bednění stěn z tyčoviny odkorkované, na sraz</t>
  </si>
  <si>
    <t>762137111R00</t>
  </si>
  <si>
    <t>66</t>
  </si>
  <si>
    <t>Konstrukce tesařské</t>
  </si>
  <si>
    <t>762</t>
  </si>
  <si>
    <t>Přesun hmot pro strojní vybavení, v objektech výšky do 6 m</t>
  </si>
  <si>
    <t>72_</t>
  </si>
  <si>
    <t>724_</t>
  </si>
  <si>
    <t>998724101R00</t>
  </si>
  <si>
    <t>65</t>
  </si>
  <si>
    <t>Montáž kalového čerpadla</t>
  </si>
  <si>
    <t>724170011R00</t>
  </si>
  <si>
    <t>64</t>
  </si>
  <si>
    <t>- pro čerp. kapaliny s částic. 10 mm, asynchr. motor pro nepř. provoz, bez plováku</t>
  </si>
  <si>
    <t>Čerpadlo ponorné kalové - průtok vody cca 10 l/min, výkon 770W, 230 V, IP68</t>
  </si>
  <si>
    <t>426111719</t>
  </si>
  <si>
    <t>63</t>
  </si>
  <si>
    <t>Strojní vybavení</t>
  </si>
  <si>
    <t>724</t>
  </si>
  <si>
    <t>Přesun hmot pro vnitřní vodovod, v objektech výšky do 6 m</t>
  </si>
  <si>
    <t>722_</t>
  </si>
  <si>
    <t>998722101R00</t>
  </si>
  <si>
    <t>62</t>
  </si>
  <si>
    <t>Montáž vodovodních armatur 2závity, G 1"</t>
  </si>
  <si>
    <t>722239103R00</t>
  </si>
  <si>
    <t>61</t>
  </si>
  <si>
    <t>Ventily uzavírací na výtlaku čerpadla 1"</t>
  </si>
  <si>
    <t>734231615R00</t>
  </si>
  <si>
    <t>60</t>
  </si>
  <si>
    <t>Klapka zpětná na výtlaku čerpadla G 1"</t>
  </si>
  <si>
    <t>551135733</t>
  </si>
  <si>
    <t>59</t>
  </si>
  <si>
    <t>Manžeta smršťovací uzavírací, d 60 - 76 mm, Dmax 125 - 142 mm</t>
  </si>
  <si>
    <t>2865565652</t>
  </si>
  <si>
    <t>58</t>
  </si>
  <si>
    <t>- do DN 80</t>
  </si>
  <si>
    <t>Utěsnění chráničky manžetou DN 80</t>
  </si>
  <si>
    <t>230194002R00</t>
  </si>
  <si>
    <t>57</t>
  </si>
  <si>
    <t>- včetně nasunutí potrubí do chráničky</t>
  </si>
  <si>
    <t>Uložení chráničky ve výkopu PE 75x3,0mm</t>
  </si>
  <si>
    <t>230191010R00</t>
  </si>
  <si>
    <t>56</t>
  </si>
  <si>
    <t>- pro potrubí D 32</t>
  </si>
  <si>
    <t>Trubka kabelová HDPE, chránička DN 75x4,5</t>
  </si>
  <si>
    <t>3457114703</t>
  </si>
  <si>
    <t>55</t>
  </si>
  <si>
    <t>Fólie výstražná z PVC bílá, šířka 30 cm</t>
  </si>
  <si>
    <t>899721112R00</t>
  </si>
  <si>
    <t>54</t>
  </si>
  <si>
    <t>Vodič signalizační CYY 2,5 mm2</t>
  </si>
  <si>
    <t>899731112R00</t>
  </si>
  <si>
    <t>53</t>
  </si>
  <si>
    <t>49,0</t>
  </si>
  <si>
    <t>Tlaková zkouška vodovodního potrubí DN 80</t>
  </si>
  <si>
    <t>892241111R00</t>
  </si>
  <si>
    <t>52</t>
  </si>
  <si>
    <t>- D 32 x 3,0</t>
  </si>
  <si>
    <t>Trubka vodovodní TS PE 100 RC, rozměr 32 x 3,0 mm, SDR 11</t>
  </si>
  <si>
    <t>286136743</t>
  </si>
  <si>
    <t>51</t>
  </si>
  <si>
    <t>- D 32</t>
  </si>
  <si>
    <t>Montáž trubek polyetylenových ve výkopu d 32 mm</t>
  </si>
  <si>
    <t>871161121R00</t>
  </si>
  <si>
    <t>50</t>
  </si>
  <si>
    <t>Venkovní vodovod</t>
  </si>
  <si>
    <t>722</t>
  </si>
  <si>
    <t>Přesun hmot pro izolace proti vodě, v objektech výšky do 6 m</t>
  </si>
  <si>
    <t>71_</t>
  </si>
  <si>
    <t>711_</t>
  </si>
  <si>
    <t>998711101R00</t>
  </si>
  <si>
    <t>49</t>
  </si>
  <si>
    <t>- stěny jezírka</t>
  </si>
  <si>
    <t>(56,4+15,3)*0,3*1,25</t>
  </si>
  <si>
    <t>- jezírko</t>
  </si>
  <si>
    <t>32,6*1,25</t>
  </si>
  <si>
    <t>Geotextilie netkaná, 400 g/m2</t>
  </si>
  <si>
    <t>69366071</t>
  </si>
  <si>
    <t>48</t>
  </si>
  <si>
    <t>(56,4+15,3)*0,3</t>
  </si>
  <si>
    <t>Provedení izolace proti vlhkosti, na ploše svislé, podkladní textilií</t>
  </si>
  <si>
    <t>711191271R00</t>
  </si>
  <si>
    <t>47</t>
  </si>
  <si>
    <t>32,6</t>
  </si>
  <si>
    <t>Provedení izolace proti vlhkosti, na ploše vodorovné, ochrannou textilií</t>
  </si>
  <si>
    <t>711191172R00</t>
  </si>
  <si>
    <t>46</t>
  </si>
  <si>
    <t>- upevnění fólie</t>
  </si>
  <si>
    <t>30,4</t>
  </si>
  <si>
    <t>Lišta ukončovací kovová</t>
  </si>
  <si>
    <t>55371021</t>
  </si>
  <si>
    <t>45</t>
  </si>
  <si>
    <t>56,4</t>
  </si>
  <si>
    <t>Izolace proti vlhkosti, kotvení páskem šířky 50 mm</t>
  </si>
  <si>
    <t>711191175R00</t>
  </si>
  <si>
    <t>44</t>
  </si>
  <si>
    <t>56,4*0,3*1,2</t>
  </si>
  <si>
    <t>32,6*1,2</t>
  </si>
  <si>
    <t>Fólie hydroizolační PVC-P, tl. 1,5 mm, vodní plochy - jezírková fólie - barva černá</t>
  </si>
  <si>
    <t>28322087</t>
  </si>
  <si>
    <t>43</t>
  </si>
  <si>
    <t>56,4*0,3</t>
  </si>
  <si>
    <t>Provedení izolace proti vlhkosti, na ploše svislé, fólií volně</t>
  </si>
  <si>
    <t>711172559R00</t>
  </si>
  <si>
    <t>42</t>
  </si>
  <si>
    <t>Provedení izolace proti vlhkosti, na ploše vodorovné, fólií volně</t>
  </si>
  <si>
    <t>711171559R00</t>
  </si>
  <si>
    <t>41</t>
  </si>
  <si>
    <t>Izolace proti vodě</t>
  </si>
  <si>
    <t>711</t>
  </si>
  <si>
    <t>Přesun hmot, budovy mont. jednopodl. s pláštěm</t>
  </si>
  <si>
    <t>9_</t>
  </si>
  <si>
    <t>99_</t>
  </si>
  <si>
    <t>998014011R00</t>
  </si>
  <si>
    <t>40</t>
  </si>
  <si>
    <t>Staveništní přesun hmot</t>
  </si>
  <si>
    <t>PHP</t>
  </si>
  <si>
    <t>Vystavení revizní zprávy-požární hasicí přístroj</t>
  </si>
  <si>
    <t>95_</t>
  </si>
  <si>
    <t>953941395R00</t>
  </si>
  <si>
    <t>39</t>
  </si>
  <si>
    <t>Osazení požárního hasicího přístroje na stěnu</t>
  </si>
  <si>
    <t>953941312R00</t>
  </si>
  <si>
    <t>38</t>
  </si>
  <si>
    <t>Přístroj hasicí práškový - 21 A - náplň 6 kg</t>
  </si>
  <si>
    <t>44984102</t>
  </si>
  <si>
    <t>37</t>
  </si>
  <si>
    <t>- nepředvídatelné stavební práce</t>
  </si>
  <si>
    <t>16</t>
  </si>
  <si>
    <t>HZS - hodinová zúčtovací sazba</t>
  </si>
  <si>
    <t>h</t>
  </si>
  <si>
    <t>900      R00</t>
  </si>
  <si>
    <t>36</t>
  </si>
  <si>
    <t>- dřevěný hranol</t>
  </si>
  <si>
    <t>D+M - pryžový pás - tl. 5 mm, šířka 60 mm (mezi hranol a ocelový profil)</t>
  </si>
  <si>
    <t>Vlaatní</t>
  </si>
  <si>
    <t>950-PC-03VD</t>
  </si>
  <si>
    <t>35</t>
  </si>
  <si>
    <t>- spoje - zábradlí + sloup</t>
  </si>
  <si>
    <t>8,5 *45*1,1</t>
  </si>
  <si>
    <t>- sloupy - výšky 1,0 - 1,8 m</t>
  </si>
  <si>
    <t>35,0 *31 *1,1</t>
  </si>
  <si>
    <t>Dodávka třípramenného lana prům. 24 mm - syntetický materiál - polypropylen spleitex</t>
  </si>
  <si>
    <t>950-PC-02VD</t>
  </si>
  <si>
    <t>34</t>
  </si>
  <si>
    <t>8,5 *45</t>
  </si>
  <si>
    <t>35,0 *31</t>
  </si>
  <si>
    <t>Montáž - omotávka třípramenným lanem prům. 24 mm</t>
  </si>
  <si>
    <t>950-PC-01VD</t>
  </si>
  <si>
    <t>33</t>
  </si>
  <si>
    <t>- podlaha</t>
  </si>
  <si>
    <t>8,8*2,8 + 5,6*4,6 + 8,2*4,2 + 5,6*3,6 + 2,3*5,6</t>
  </si>
  <si>
    <t>Vyčištění ostatních objektů</t>
  </si>
  <si>
    <t>952901411R00</t>
  </si>
  <si>
    <t>32</t>
  </si>
  <si>
    <t>Různé dokončovací konstrukce a práce na pozemních stavbách</t>
  </si>
  <si>
    <t>3,5*3,5 + 5,8*4,6 + 7,8*4,2 + 5,8*3,7 + 2,9*2,8</t>
  </si>
  <si>
    <t>Lešení lehké pomocné, výška podlahy do 3,5 m</t>
  </si>
  <si>
    <t>94_</t>
  </si>
  <si>
    <t>941955004R00</t>
  </si>
  <si>
    <t>31</t>
  </si>
  <si>
    <t>Lešení a stavební výtahy</t>
  </si>
  <si>
    <t>- osazení kotevních ploten</t>
  </si>
  <si>
    <t>26*1,5</t>
  </si>
  <si>
    <t>Kovové doplň.konstrukce pro montáž dílců, do 10 kg</t>
  </si>
  <si>
    <t>3_</t>
  </si>
  <si>
    <t>38_</t>
  </si>
  <si>
    <t>389941012R00</t>
  </si>
  <si>
    <t>30</t>
  </si>
  <si>
    <t>Různé kompletní konstrukce nedělitelné do stav. dílů</t>
  </si>
  <si>
    <t>26*4*0,25</t>
  </si>
  <si>
    <t>Tyč závitová M12, DIN 975 pozinkovaná</t>
  </si>
  <si>
    <t>32_</t>
  </si>
  <si>
    <t>31179127</t>
  </si>
  <si>
    <t>29</t>
  </si>
  <si>
    <t>- kotvy hrana</t>
  </si>
  <si>
    <t>150*2</t>
  </si>
  <si>
    <t>- kotvy</t>
  </si>
  <si>
    <t>26*4</t>
  </si>
  <si>
    <t>Kotva chemická - ampule maxima M12</t>
  </si>
  <si>
    <t>31171802.A</t>
  </si>
  <si>
    <t>28</t>
  </si>
  <si>
    <t>- betonová hrana u komunikace</t>
  </si>
  <si>
    <t>(56,4+15,3)*0,1 *0,0031 *1,2</t>
  </si>
  <si>
    <t>Výztuž ostatních ŽB konstrukcí svařovanou sítí</t>
  </si>
  <si>
    <t>329368211R00</t>
  </si>
  <si>
    <t>27</t>
  </si>
  <si>
    <t>- betonová hrana u komunikace + propojovací trny</t>
  </si>
  <si>
    <t>(56,4+15,3)*0,15*0,1 *1,05</t>
  </si>
  <si>
    <t>Konstrukce ostatní z bet.železového C25/30 XA2 včetně kotevních prvků</t>
  </si>
  <si>
    <t>329321114R00</t>
  </si>
  <si>
    <t>26</t>
  </si>
  <si>
    <t>Zdi přehradní a opěrné</t>
  </si>
  <si>
    <t>- stěny jezírka v oblouku</t>
  </si>
  <si>
    <t>15,3*0,5</t>
  </si>
  <si>
    <t>Odbednění konstrukcí ostatních jinak zakřivených</t>
  </si>
  <si>
    <t>2_</t>
  </si>
  <si>
    <t>27_</t>
  </si>
  <si>
    <t>329352030R00</t>
  </si>
  <si>
    <t>25</t>
  </si>
  <si>
    <t>Obednění konstrukcí ostatních jinak zakřivených</t>
  </si>
  <si>
    <t>329351030R00</t>
  </si>
  <si>
    <t>24</t>
  </si>
  <si>
    <t>- kaskáda</t>
  </si>
  <si>
    <t>(2,8+1,5)*0,5 *2</t>
  </si>
  <si>
    <t>- přepad vody</t>
  </si>
  <si>
    <t>4,3*0,2 *2</t>
  </si>
  <si>
    <t>- stěny - zídky</t>
  </si>
  <si>
    <t>(3,0+2,4)*0,5 *2</t>
  </si>
  <si>
    <t>56,4*0,5 *2</t>
  </si>
  <si>
    <t>Bednění stěn základových zdí, oboustranné - odstranění</t>
  </si>
  <si>
    <t>279351106R00</t>
  </si>
  <si>
    <t>23</t>
  </si>
  <si>
    <t>Bednění stěn základových zdí, oboustranné - zřízení</t>
  </si>
  <si>
    <t>279351105R00</t>
  </si>
  <si>
    <t>22</t>
  </si>
  <si>
    <t>(2,8+1,5)*0,35*2 *0,0031 *1,2</t>
  </si>
  <si>
    <t>4,3*0,3*2 *0,0031 *1,2</t>
  </si>
  <si>
    <t>(3,0+2,4)*0,5*2 *0,0031 *1,2</t>
  </si>
  <si>
    <t>(56,4+15,3)*0,35*2 *0,0031 *1,2</t>
  </si>
  <si>
    <t>KH 20, drát d 6,0 mm, oko 150 x 150 mm</t>
  </si>
  <si>
    <t>Výztuž základových zdí ze svařovaných sítí</t>
  </si>
  <si>
    <t>279361921RT5</t>
  </si>
  <si>
    <t>21</t>
  </si>
  <si>
    <t>(2,8+1,5)*0,15*0,35 *1,05</t>
  </si>
  <si>
    <t>4,3*0,3*0,2 *1,05</t>
  </si>
  <si>
    <t>(3,0+2,4)*0,2*0,5 *1,05</t>
  </si>
  <si>
    <t>(56,4+15,3)*0,15*0,35 *1,05</t>
  </si>
  <si>
    <t>Železobeton základových zdí C 25/30</t>
  </si>
  <si>
    <t>279321411R00</t>
  </si>
  <si>
    <t>20</t>
  </si>
  <si>
    <t>- plocha pod jezírkem</t>
  </si>
  <si>
    <t>46,6*2 *0,0031 *1,2</t>
  </si>
  <si>
    <t>Výztuž základových desek ze svařovaných sítí</t>
  </si>
  <si>
    <t>273361921RT5</t>
  </si>
  <si>
    <t>19</t>
  </si>
  <si>
    <t>- patky</t>
  </si>
  <si>
    <t>1,65*0,8*0,8 *2 *1,05</t>
  </si>
  <si>
    <t>0,6*0,6*0,8 *4 *1,05</t>
  </si>
  <si>
    <t>0,8*0,8*0,8 *18 *1,05</t>
  </si>
  <si>
    <t>Železobeton základových patek C 25/30</t>
  </si>
  <si>
    <t>275321411R00</t>
  </si>
  <si>
    <t>18</t>
  </si>
  <si>
    <t>46,6*0,15 *1,05</t>
  </si>
  <si>
    <t>Železobeton základových desek C 25/30</t>
  </si>
  <si>
    <t>273321411R00</t>
  </si>
  <si>
    <t>17</t>
  </si>
  <si>
    <t>((1,6+0,7)*2*0,8 *2 + 1,6*0,7*2 *2) *0,0054 *1,2</t>
  </si>
  <si>
    <t>((0,5+0,5)*2*0,8 *4 + 0,5*0,5*2 *4) *0,0054 *1,2</t>
  </si>
  <si>
    <t>((0,7+0,7)*2*0,8 *18 + 0,7*0,7*2 *18) *0,0054 *1,2</t>
  </si>
  <si>
    <t>KY 80, drát d 8,0 mm, oko 150 x 150 mm</t>
  </si>
  <si>
    <t>Výztuž základových patek ze svařovaných sítí</t>
  </si>
  <si>
    <t>275361921RT9</t>
  </si>
  <si>
    <t>(1,65+0,8)*2*0,2 *2</t>
  </si>
  <si>
    <t>(0,6+0,6)*2*0,2 *4</t>
  </si>
  <si>
    <t>(0,8+0,8)*2*0,2 *18</t>
  </si>
  <si>
    <t>Bednění základových patek - odstranění</t>
  </si>
  <si>
    <t>275354211R00</t>
  </si>
  <si>
    <t>15</t>
  </si>
  <si>
    <t>Bednění stěn základových patek - zřízení</t>
  </si>
  <si>
    <t>275354111R00</t>
  </si>
  <si>
    <t>14</t>
  </si>
  <si>
    <t>1,65*0,8 *2</t>
  </si>
  <si>
    <t>0,6*0,6 *4</t>
  </si>
  <si>
    <t>0,8*0,8 *18</t>
  </si>
  <si>
    <t>ze štěrkopísku tloušťky 200 mm</t>
  </si>
  <si>
    <t>Polštář hutněný pod základy</t>
  </si>
  <si>
    <t>271570010RAC</t>
  </si>
  <si>
    <t>13</t>
  </si>
  <si>
    <t>Základy</t>
  </si>
  <si>
    <t>46,6</t>
  </si>
  <si>
    <t>vibrační deskou</t>
  </si>
  <si>
    <t>Zhutnění podloží z hornin nesoudržných do 92% PS</t>
  </si>
  <si>
    <t>21_</t>
  </si>
  <si>
    <t>215901101RT5</t>
  </si>
  <si>
    <t>12</t>
  </si>
  <si>
    <t>Úprava podloží a základové spáry</t>
  </si>
  <si>
    <t>- ozelenění ploch</t>
  </si>
  <si>
    <t>18,0 + 9,0 + 12,0 + 3,0*3,0</t>
  </si>
  <si>
    <t>dovoz ornice ze vzdálenosti 500 m, osetí trávou</t>
  </si>
  <si>
    <t>Rozprostření ornice v rovině tloušťka 150 mm</t>
  </si>
  <si>
    <t>1_</t>
  </si>
  <si>
    <t>18_</t>
  </si>
  <si>
    <t>181300010RAA</t>
  </si>
  <si>
    <t>11</t>
  </si>
  <si>
    <t>Povrchové úpravy terénu</t>
  </si>
  <si>
    <t>- výkop - přepad vody</t>
  </si>
  <si>
    <t>4,3*0,3*0,3</t>
  </si>
  <si>
    <t>1,65*0,8*1,1 *2</t>
  </si>
  <si>
    <t>0,6*0,6*1,1 *4</t>
  </si>
  <si>
    <t>0,8*0,8*1,1 *18</t>
  </si>
  <si>
    <t>46,6*0,2</t>
  </si>
  <si>
    <t>- plocha</t>
  </si>
  <si>
    <t>141,2*0,15</t>
  </si>
  <si>
    <t>Uložení výkopku bez zhutnění na svahu do 1 : 5</t>
  </si>
  <si>
    <t>13_</t>
  </si>
  <si>
    <t>171203111R00</t>
  </si>
  <si>
    <t>10</t>
  </si>
  <si>
    <t>HZS - geodetické zaměření založení</t>
  </si>
  <si>
    <t>111-PC-01VD</t>
  </si>
  <si>
    <t>9</t>
  </si>
  <si>
    <t>Vodorovné přemístění výkopku z hor.1-4 do 500 m</t>
  </si>
  <si>
    <t>162301101R00</t>
  </si>
  <si>
    <t>8</t>
  </si>
  <si>
    <t>- výkop - zemnící pásek</t>
  </si>
  <si>
    <t>48,6*0,3*0,6</t>
  </si>
  <si>
    <t>Zásyp jam, rýh, šachet bez zhutnění</t>
  </si>
  <si>
    <t>174201101R00</t>
  </si>
  <si>
    <t>Přípl.za lepivost,hloubení rýh 60 cm,hor.3,STROJNĚ</t>
  </si>
  <si>
    <t>132201119R00</t>
  </si>
  <si>
    <t>6</t>
  </si>
  <si>
    <t>Hloubení rýh š.do 60 cm v hor.3 do 50 m3, STROJNĚ</t>
  </si>
  <si>
    <t>132201110R00</t>
  </si>
  <si>
    <t>Příplatek za lepivost - hloubení nezap.jam v hor.3</t>
  </si>
  <si>
    <t>131201119R00</t>
  </si>
  <si>
    <t>4</t>
  </si>
  <si>
    <t>Hloubení nezapaž. jam hor.3 do 50 m3, STROJNĚ</t>
  </si>
  <si>
    <t>131201110R00</t>
  </si>
  <si>
    <t>3</t>
  </si>
  <si>
    <t>Hloubené vykopávky</t>
  </si>
  <si>
    <t>Příplatek za lepivost - odkopávky v hor. 3</t>
  </si>
  <si>
    <t>12_</t>
  </si>
  <si>
    <t>122201109R00</t>
  </si>
  <si>
    <t>Odkopávky nezapažené v hor. 3 do 100 m3</t>
  </si>
  <si>
    <t>122201101R00</t>
  </si>
  <si>
    <t>Odkopávky a prokopávky</t>
  </si>
  <si>
    <t>CELK</t>
  </si>
  <si>
    <t>WORK</t>
  </si>
  <si>
    <t>MAT</t>
  </si>
  <si>
    <t>Ostatní mat.</t>
  </si>
  <si>
    <t>Mont prac</t>
  </si>
  <si>
    <t>Mont mat</t>
  </si>
  <si>
    <t>PSV prac</t>
  </si>
  <si>
    <t>PSV mat</t>
  </si>
  <si>
    <t>HSV prac</t>
  </si>
  <si>
    <t>HSV mat</t>
  </si>
  <si>
    <t>Typ skupiny</t>
  </si>
  <si>
    <t>Přesuny</t>
  </si>
  <si>
    <t>soustava</t>
  </si>
  <si>
    <t>Celkem</t>
  </si>
  <si>
    <t>Jednot.</t>
  </si>
  <si>
    <t>Dodávka</t>
  </si>
  <si>
    <t>(Kč)</t>
  </si>
  <si>
    <t>Rozměry</t>
  </si>
  <si>
    <t>VATTAX</t>
  </si>
  <si>
    <t>GROUPCODE</t>
  </si>
  <si>
    <t>ISWORK</t>
  </si>
  <si>
    <t>Cenová</t>
  </si>
  <si>
    <t>Hmotnost (t)</t>
  </si>
  <si>
    <t>Náklady (Kč)</t>
  </si>
  <si>
    <t>Cena/MJ</t>
  </si>
  <si>
    <t>Množství</t>
  </si>
  <si>
    <t>MJ</t>
  </si>
  <si>
    <t>Zkrácený popis</t>
  </si>
  <si>
    <t>Kód</t>
  </si>
  <si>
    <t>Č</t>
  </si>
  <si>
    <t>Tomáš Sýkora</t>
  </si>
  <si>
    <t>19.11.2025</t>
  </si>
  <si>
    <t>Zpracováno dne:</t>
  </si>
  <si>
    <t>815998</t>
  </si>
  <si>
    <t>bude určen výběrovým řízením</t>
  </si>
  <si>
    <t>parc.č. 888/1, areál ZOO Zlín - Lešná</t>
  </si>
  <si>
    <t>PROST Zlín - projekční kancelář</t>
  </si>
  <si>
    <t>10.02.2026</t>
  </si>
  <si>
    <t>Doba výstavby:</t>
  </si>
  <si>
    <t>Položkový rozpočet</t>
  </si>
  <si>
    <t>Procento PM %</t>
  </si>
  <si>
    <t>2. sazba DPH %</t>
  </si>
  <si>
    <t>1. sazba DPH %
- i pro přirážky rekapitulace</t>
  </si>
  <si>
    <t>0,00</t>
  </si>
  <si>
    <t>Roční nárůst cen 2   %</t>
  </si>
  <si>
    <t>Roční nárůst cen 1   %</t>
  </si>
  <si>
    <t>Kompletační činnost - k2</t>
  </si>
  <si>
    <t>Kompletační činnost - k1</t>
  </si>
  <si>
    <t>0,952842</t>
  </si>
  <si>
    <t>Kompletační činnost - b</t>
  </si>
  <si>
    <t>Kompletační činnost - a</t>
  </si>
  <si>
    <t>Provozní vlivy  %</t>
  </si>
  <si>
    <t>GZS  (3,25 nebo 8,4) %</t>
  </si>
  <si>
    <t>Opravy v záruce  (5 - 7) %</t>
  </si>
  <si>
    <t>Rizika a pojištění  (1 - 1,5) %</t>
  </si>
  <si>
    <t>Dodavat. dokumentace  (1 - 1,5) %</t>
  </si>
  <si>
    <t>PPV zemních prací, nátěrů  (1) %</t>
  </si>
  <si>
    <t>PPV  (1 nebo 6) %</t>
  </si>
  <si>
    <t>1,00</t>
  </si>
  <si>
    <t>Přesun dodávek  (1) %</t>
  </si>
  <si>
    <t>3,60</t>
  </si>
  <si>
    <t>Doprava dodávek  (3,6) %</t>
  </si>
  <si>
    <t>Uvedené ceny jsou v Kč a nezahrnují DPH, pokud to není uvedeno.</t>
  </si>
  <si>
    <t>Poznámka</t>
  </si>
  <si>
    <t>2025</t>
  </si>
  <si>
    <t>CÚ</t>
  </si>
  <si>
    <t>PROST Zlín - projekční kancelář, Vodní 1972, 760 01 Zlín</t>
  </si>
  <si>
    <t>Zpracovatel</t>
  </si>
  <si>
    <t>30.10.2025</t>
  </si>
  <si>
    <t>Datum</t>
  </si>
  <si>
    <t>Kontroloval</t>
  </si>
  <si>
    <t>Lutonský Tomáš, Vodní 1972, 760 01 Zlín</t>
  </si>
  <si>
    <t>Vypracoval</t>
  </si>
  <si>
    <t>Smlouva</t>
  </si>
  <si>
    <t>A. č.</t>
  </si>
  <si>
    <t>Z. č.</t>
  </si>
  <si>
    <t>ZOO a zámek Zlín - Lešná p.o., Lukovská 112, 763 14 Zlín</t>
  </si>
  <si>
    <t>Investor</t>
  </si>
  <si>
    <t>D.1.2.5  Elektroinstalace</t>
  </si>
  <si>
    <t>Projekt</t>
  </si>
  <si>
    <t>Karibuni II - přístřešek u výběhu B</t>
  </si>
  <si>
    <t>Akce</t>
  </si>
  <si>
    <t>Seznam prací a dodávek elektrotechnických zařízení</t>
  </si>
  <si>
    <t>Nadpis rekapitulace</t>
  </si>
  <si>
    <t>Hodnota</t>
  </si>
  <si>
    <t>Název</t>
  </si>
  <si>
    <t>Náklady celkem s DPH</t>
  </si>
  <si>
    <t>Základ a hodnota DPH 12%</t>
  </si>
  <si>
    <t>Základ a hodnota DPH 21%</t>
  </si>
  <si>
    <t>Náklady celkem</t>
  </si>
  <si>
    <t>Kompletační činnost</t>
  </si>
  <si>
    <t>Vedlejší náklady celkem</t>
  </si>
  <si>
    <t>Provozní vlivy 0,00% z pravé strany mezisoučtu 2</t>
  </si>
  <si>
    <t>GZS 0,00% z pravé strany mezisoučtu 2</t>
  </si>
  <si>
    <t>Vedlejší náklady</t>
  </si>
  <si>
    <t>Základní náklady celkem</t>
  </si>
  <si>
    <t>Opravy v záruce 0,00% z mezisoučtu 1</t>
  </si>
  <si>
    <t>Rizika a pojištění 0,00% z mezisoučtu 2</t>
  </si>
  <si>
    <t>Dodav. dokumentace 0,00% z mezisoučtu 2</t>
  </si>
  <si>
    <t>Mezisoučet 2</t>
  </si>
  <si>
    <t>PPV 0,00% z nátěrů a zemních prací</t>
  </si>
  <si>
    <t>Zemní práce</t>
  </si>
  <si>
    <t>PPV 0,00% z montáže: materiál + práce</t>
  </si>
  <si>
    <t>Mezisoučet 1</t>
  </si>
  <si>
    <t>Montáž - práce</t>
  </si>
  <si>
    <t>Montáž - materiál</t>
  </si>
  <si>
    <t>Doprava 3,60%, Přesun 1,00%</t>
  </si>
  <si>
    <t>Základní náklady</t>
  </si>
  <si>
    <t>Hodnota B</t>
  </si>
  <si>
    <t>Hodnota A</t>
  </si>
  <si>
    <t>Zemní práce - celkem</t>
  </si>
  <si>
    <t xml:space="preserve"> Do šířky 20cm</t>
  </si>
  <si>
    <t>FOLIE VÝSTRAŽNÁ Z PVC</t>
  </si>
  <si>
    <t xml:space="preserve"> Zemina třídy 3, šíře 350mm,hloubka 700mm</t>
  </si>
  <si>
    <t>ZÁHOZ KABELOVÉ RÝHY</t>
  </si>
  <si>
    <t>HLOUBENÍ KABELOVÉ RÝHY</t>
  </si>
  <si>
    <t>Elektromontáže - celkem</t>
  </si>
  <si>
    <t>Podružný materiál</t>
  </si>
  <si>
    <t>hod</t>
  </si>
  <si>
    <t>Revizni technik</t>
  </si>
  <si>
    <t>DLE CSN 331500</t>
  </si>
  <si>
    <t>PROVEDENI REVIZNICH ZKOUSEK</t>
  </si>
  <si>
    <t>S investorem</t>
  </si>
  <si>
    <t>KOORDINACE POSTUPU PRACI</t>
  </si>
  <si>
    <t>Napojeni na stavajici zarizeni (pojistková skříň)</t>
  </si>
  <si>
    <t>HODINOVE ZUCTOVACI SAZBY</t>
  </si>
  <si>
    <t>ks</t>
  </si>
  <si>
    <t>Do 2,5 mm2</t>
  </si>
  <si>
    <t>UKONČENÍ VODIČŮ NA SVORKOVNICI</t>
  </si>
  <si>
    <t>UKONČENÍ  VODIČŮ V ROZVADĚČÍCH</t>
  </si>
  <si>
    <t>kpl</t>
  </si>
  <si>
    <t>Ochrana před korozí zemní spoje (nátěr)</t>
  </si>
  <si>
    <t>Tvarování mont.dílu</t>
  </si>
  <si>
    <t>Štítek pro označení svodu</t>
  </si>
  <si>
    <t>MONTÁŽNÍ PRÁCE</t>
  </si>
  <si>
    <t>Jímací tyč výšky 1,5m s držáky na trám (2ks)</t>
  </si>
  <si>
    <t>DPb držák zemnícího pásku</t>
  </si>
  <si>
    <t>SZ zkušební v zemní litinové krabici</t>
  </si>
  <si>
    <t>PV01 plastová</t>
  </si>
  <si>
    <t>SP připojovací</t>
  </si>
  <si>
    <t>SS spojovací</t>
  </si>
  <si>
    <t>SU univerzální</t>
  </si>
  <si>
    <t>SR 2a svorka páska-páska M6</t>
  </si>
  <si>
    <t>SR 3b svorka páska-drát</t>
  </si>
  <si>
    <t>SVORKA HROMOSVODNÍ,UZEMŇOVACÍ</t>
  </si>
  <si>
    <t>AlMgSi drát ø 8mm(0,135kg/m), pevně</t>
  </si>
  <si>
    <t>FeZn drát ø 10mm(0,62kg/m), pevně</t>
  </si>
  <si>
    <t>Zemnící pásek 30x4 (0,95 kg/m), pevně</t>
  </si>
  <si>
    <t>OCELOVÝ PÁSEK POZINKOVANÝ</t>
  </si>
  <si>
    <t>Retro kabel 3x1,5 kroucený s textilním opletem (Melange Brown TN04 - barvu konzultovat s investorem)</t>
  </si>
  <si>
    <t>CYKY-J 3x6 , pevně</t>
  </si>
  <si>
    <t>CYKY-J 5x1.5 , pevně</t>
  </si>
  <si>
    <t>CYKY-J 3x1.5 , pevně</t>
  </si>
  <si>
    <t>KABEL SILOVÝ,IZOLACE PVC</t>
  </si>
  <si>
    <t>2273-203 3x0,5-2,5mm2</t>
  </si>
  <si>
    <t>SVORKOVNICE KRABICOVÁ</t>
  </si>
  <si>
    <t>Příchytky na kabel (1ks kabelu) na trámy, barva přírodní dřevo (hnědá) - 3ks/1m</t>
  </si>
  <si>
    <t>Kabelová chránička zemní, červená, ohebná, průměr 60 (ref. výrobek Arot)</t>
  </si>
  <si>
    <t>Kabelová chránička zemní, červená, ohebná, průměr 40 (ref. výrobek Arot)</t>
  </si>
  <si>
    <t>Trubka plastová, odolná proti UV, průměr 13,5mm vč spojek, úchytek, kolen</t>
  </si>
  <si>
    <t>Krabice odbočná, šedá s víčkem, IP65</t>
  </si>
  <si>
    <t>Tlačítko TOTAL STOP v kovové krabici, 1zap a 1x vyp. kontakt</t>
  </si>
  <si>
    <t>Pojistky nožové 20A</t>
  </si>
  <si>
    <t>Vypínač na lištu DIN 32A/1 s vypínací cívkou (Total Stop) (ref. výrobek OEZ: MSO-32-1)</t>
  </si>
  <si>
    <t>MCB-2B-1 Jistič</t>
  </si>
  <si>
    <t>MCB-10B-1 Jistič</t>
  </si>
  <si>
    <t>(ref. výrobek - OLI-10B-1N-030A) Proudový chránič s nadproudovou ochranou</t>
  </si>
  <si>
    <t>Čtyřkanálový ovladač; na lištu DIN; 230VAC; IP20; SUPLA  ROW-04M</t>
  </si>
  <si>
    <t>Stykač dvoupolový 20A/230V (ref.výrobek RSI-20-10-A230)</t>
  </si>
  <si>
    <t>Mechanické spínací hodiny denní, do rozvodnice s baterií, dvoukanalové (ref.výrobek Theben1880033)</t>
  </si>
  <si>
    <t>Pilíř elektro ER1/NK-7/DIN, IP44, 1835x320x250mm, IK10, prázdný s din lištami a krycí maskou</t>
  </si>
  <si>
    <t>Elektromontáže</t>
  </si>
  <si>
    <t>Cena celkem</t>
  </si>
  <si>
    <t>Cena</t>
  </si>
  <si>
    <t>Montáž celkem</t>
  </si>
  <si>
    <t>Materiál celkem</t>
  </si>
  <si>
    <t>Materiál</t>
  </si>
  <si>
    <t>Počet</t>
  </si>
  <si>
    <t>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</si>
</sst>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00\ 00"/>
  </numFmts>
  <fonts count="5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 Black"/>
      <family val="2"/>
      <charset val="238"/>
    </font>
    <font>
      <b/>
      <sz val="16"/>
      <name val="Arial Black"/>
      <family val="2"/>
      <charset val="238"/>
    </font>
    <font>
      <sz val="16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charset val="1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sz val="12"/>
      <color rgb="FF000000"/>
      <name val="Arial"/>
      <charset val="238"/>
    </font>
    <font>
      <b/>
      <sz val="12"/>
      <color rgb="FF000000"/>
      <name val="Arial"/>
      <charset val="238"/>
    </font>
    <font>
      <b/>
      <sz val="11"/>
      <color rgb="FF000000"/>
      <name val="Arial"/>
      <charset val="238"/>
    </font>
    <font>
      <b/>
      <sz val="20"/>
      <color rgb="FF000000"/>
      <name val="Arial"/>
      <charset val="238"/>
    </font>
    <font>
      <b/>
      <sz val="18"/>
      <color rgb="FF000000"/>
      <name val="Arial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i/>
      <sz val="10"/>
      <color rgb="FF0000FF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EA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1" applyNumberFormat="0" applyFill="0" applyAlignment="0" applyProtection="0"/>
    <xf numFmtId="0" fontId="6" fillId="11" borderId="0" applyNumberFormat="0" applyBorder="0" applyAlignment="0" applyProtection="0"/>
    <xf numFmtId="0" fontId="7" fillId="12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5" fillId="4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3" borderId="8" applyNumberFormat="0" applyAlignment="0" applyProtection="0"/>
    <xf numFmtId="0" fontId="17" fillId="13" borderId="9" applyNumberFormat="0" applyAlignment="0" applyProtection="0"/>
    <xf numFmtId="0" fontId="18" fillId="0" borderId="0" applyNumberFormat="0" applyFill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0" borderId="0"/>
    <xf numFmtId="0" fontId="33" fillId="0" borderId="0"/>
    <xf numFmtId="0" fontId="1" fillId="0" borderId="0"/>
  </cellStyleXfs>
  <cellXfs count="233">
    <xf numFmtId="0" fontId="0" fillId="0" borderId="0" xfId="0"/>
    <xf numFmtId="0" fontId="20" fillId="0" borderId="0" xfId="0" applyFont="1"/>
    <xf numFmtId="0" fontId="20" fillId="0" borderId="0" xfId="0" applyFont="1" applyAlignment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/>
    <xf numFmtId="0" fontId="22" fillId="0" borderId="0" xfId="0" applyFont="1" applyAlignment="1">
      <alignment horizontal="right"/>
    </xf>
    <xf numFmtId="14" fontId="22" fillId="0" borderId="0" xfId="0" applyNumberFormat="1" applyFont="1" applyAlignment="1">
      <alignment horizontal="left"/>
    </xf>
    <xf numFmtId="0" fontId="23" fillId="0" borderId="0" xfId="0" applyFont="1" applyAlignment="1">
      <alignment horizontal="right"/>
    </xf>
    <xf numFmtId="49" fontId="20" fillId="0" borderId="0" xfId="0" applyNumberFormat="1" applyFont="1"/>
    <xf numFmtId="49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3" fillId="18" borderId="10" xfId="0" applyFont="1" applyFill="1" applyBorder="1" applyAlignment="1">
      <alignment wrapText="1"/>
    </xf>
    <xf numFmtId="0" fontId="23" fillId="18" borderId="11" xfId="0" applyFont="1" applyFill="1" applyBorder="1" applyAlignment="1">
      <alignment wrapText="1"/>
    </xf>
    <xf numFmtId="0" fontId="23" fillId="18" borderId="12" xfId="0" applyFont="1" applyFill="1" applyBorder="1" applyAlignment="1">
      <alignment wrapText="1"/>
    </xf>
    <xf numFmtId="0" fontId="23" fillId="18" borderId="10" xfId="0" applyFont="1" applyFill="1" applyBorder="1" applyAlignment="1">
      <alignment horizontal="right" wrapText="1"/>
    </xf>
    <xf numFmtId="0" fontId="20" fillId="18" borderId="11" xfId="0" applyFont="1" applyFill="1" applyBorder="1" applyAlignment="1"/>
    <xf numFmtId="0" fontId="23" fillId="18" borderId="11" xfId="0" applyFont="1" applyFill="1" applyBorder="1" applyAlignment="1">
      <alignment horizontal="right" wrapText="1"/>
    </xf>
    <xf numFmtId="0" fontId="23" fillId="18" borderId="12" xfId="0" applyFont="1" applyFill="1" applyBorder="1" applyAlignment="1">
      <alignment horizontal="right" vertical="center"/>
    </xf>
    <xf numFmtId="0" fontId="23" fillId="19" borderId="0" xfId="0" applyFont="1" applyFill="1" applyBorder="1" applyAlignment="1">
      <alignment horizontal="right" wrapText="1"/>
    </xf>
    <xf numFmtId="0" fontId="20" fillId="0" borderId="13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" fontId="20" fillId="0" borderId="0" xfId="0" applyNumberFormat="1" applyFont="1" applyBorder="1" applyAlignment="1">
      <alignment horizontal="right" vertical="center"/>
    </xf>
    <xf numFmtId="0" fontId="20" fillId="0" borderId="14" xfId="0" applyFont="1" applyBorder="1" applyAlignment="1">
      <alignment vertical="center"/>
    </xf>
    <xf numFmtId="4" fontId="20" fillId="0" borderId="15" xfId="0" applyNumberFormat="1" applyFont="1" applyBorder="1" applyAlignment="1">
      <alignment horizontal="right" vertical="center"/>
    </xf>
    <xf numFmtId="4" fontId="20" fillId="0" borderId="16" xfId="0" applyNumberFormat="1" applyFont="1" applyBorder="1" applyAlignment="1">
      <alignment horizontal="right" vertical="center"/>
    </xf>
    <xf numFmtId="4" fontId="20" fillId="19" borderId="0" xfId="0" applyNumberFormat="1" applyFont="1" applyFill="1" applyBorder="1" applyAlignment="1">
      <alignment vertical="center"/>
    </xf>
    <xf numFmtId="4" fontId="20" fillId="0" borderId="13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horizontal="right" vertical="center"/>
    </xf>
    <xf numFmtId="4" fontId="20" fillId="0" borderId="17" xfId="0" applyNumberFormat="1" applyFont="1" applyBorder="1" applyAlignment="1">
      <alignment horizontal="right" vertical="center"/>
    </xf>
    <xf numFmtId="4" fontId="20" fillId="0" borderId="18" xfId="0" applyNumberFormat="1" applyFont="1" applyBorder="1" applyAlignment="1">
      <alignment horizontal="right" vertical="center"/>
    </xf>
    <xf numFmtId="0" fontId="24" fillId="20" borderId="10" xfId="0" applyFont="1" applyFill="1" applyBorder="1" applyAlignment="1">
      <alignment vertical="center"/>
    </xf>
    <xf numFmtId="0" fontId="25" fillId="20" borderId="11" xfId="0" applyFont="1" applyFill="1" applyBorder="1" applyAlignment="1">
      <alignment vertical="center"/>
    </xf>
    <xf numFmtId="0" fontId="20" fillId="20" borderId="11" xfId="0" applyFont="1" applyFill="1" applyBorder="1" applyAlignment="1">
      <alignment vertical="center"/>
    </xf>
    <xf numFmtId="4" fontId="24" fillId="20" borderId="19" xfId="0" applyNumberFormat="1" applyFont="1" applyFill="1" applyBorder="1" applyAlignment="1">
      <alignment horizontal="right" vertical="center"/>
    </xf>
    <xf numFmtId="4" fontId="24" fillId="20" borderId="20" xfId="0" applyNumberFormat="1" applyFont="1" applyFill="1" applyBorder="1" applyAlignment="1">
      <alignment horizontal="right" vertical="center"/>
    </xf>
    <xf numFmtId="4" fontId="25" fillId="19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4" fontId="20" fillId="0" borderId="0" xfId="0" applyNumberFormat="1" applyFont="1"/>
    <xf numFmtId="0" fontId="23" fillId="18" borderId="10" xfId="0" applyFont="1" applyFill="1" applyBorder="1" applyAlignment="1">
      <alignment vertical="center"/>
    </xf>
    <xf numFmtId="0" fontId="25" fillId="18" borderId="11" xfId="0" applyFont="1" applyFill="1" applyBorder="1" applyAlignment="1">
      <alignment vertical="center"/>
    </xf>
    <xf numFmtId="0" fontId="25" fillId="18" borderId="12" xfId="0" applyFont="1" applyFill="1" applyBorder="1" applyAlignment="1">
      <alignment vertical="center" wrapText="1"/>
    </xf>
    <xf numFmtId="0" fontId="20" fillId="0" borderId="0" xfId="0" applyFont="1" applyAlignment="1">
      <alignment horizontal="left" vertical="top" wrapText="1"/>
    </xf>
    <xf numFmtId="3" fontId="20" fillId="0" borderId="0" xfId="0" applyNumberFormat="1" applyFont="1"/>
    <xf numFmtId="0" fontId="0" fillId="0" borderId="0" xfId="0" applyAlignment="1">
      <alignment horizontal="left"/>
    </xf>
    <xf numFmtId="49" fontId="23" fillId="0" borderId="13" xfId="0" applyNumberFormat="1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0" xfId="0" applyFont="1" applyBorder="1"/>
    <xf numFmtId="165" fontId="23" fillId="0" borderId="14" xfId="0" applyNumberFormat="1" applyFont="1" applyBorder="1"/>
    <xf numFmtId="164" fontId="25" fillId="0" borderId="22" xfId="0" applyNumberFormat="1" applyFont="1" applyBorder="1"/>
    <xf numFmtId="3" fontId="25" fillId="0" borderId="0" xfId="0" applyNumberFormat="1" applyFont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6" fillId="0" borderId="0" xfId="0" applyFont="1"/>
    <xf numFmtId="0" fontId="26" fillId="20" borderId="19" xfId="0" applyFont="1" applyFill="1" applyBorder="1" applyAlignment="1">
      <alignment vertical="center"/>
    </xf>
    <xf numFmtId="49" fontId="26" fillId="20" borderId="20" xfId="0" applyNumberFormat="1" applyFont="1" applyFill="1" applyBorder="1" applyAlignment="1">
      <alignment horizontal="left" vertical="center"/>
    </xf>
    <xf numFmtId="0" fontId="26" fillId="20" borderId="20" xfId="0" applyFont="1" applyFill="1" applyBorder="1" applyAlignment="1">
      <alignment vertical="center"/>
    </xf>
    <xf numFmtId="165" fontId="27" fillId="20" borderId="26" xfId="0" applyNumberFormat="1" applyFont="1" applyFill="1" applyBorder="1"/>
    <xf numFmtId="164" fontId="26" fillId="20" borderId="28" xfId="0" applyNumberFormat="1" applyFont="1" applyFill="1" applyBorder="1" applyAlignment="1">
      <alignment horizontal="right" vertical="center"/>
    </xf>
    <xf numFmtId="4" fontId="23" fillId="0" borderId="22" xfId="0" applyNumberFormat="1" applyFont="1" applyBorder="1" applyAlignment="1">
      <alignment horizontal="right"/>
    </xf>
    <xf numFmtId="4" fontId="26" fillId="20" borderId="27" xfId="0" applyNumberFormat="1" applyFont="1" applyFill="1" applyBorder="1" applyAlignment="1">
      <alignment horizontal="right" vertical="center"/>
    </xf>
    <xf numFmtId="0" fontId="24" fillId="0" borderId="0" xfId="0" applyFont="1"/>
    <xf numFmtId="4" fontId="23" fillId="0" borderId="22" xfId="0" applyNumberFormat="1" applyFont="1" applyFill="1" applyBorder="1" applyAlignment="1">
      <alignment horizontal="right"/>
    </xf>
    <xf numFmtId="4" fontId="23" fillId="21" borderId="22" xfId="0" applyNumberFormat="1" applyFont="1" applyFill="1" applyBorder="1" applyAlignment="1">
      <alignment horizontal="right"/>
    </xf>
    <xf numFmtId="166" fontId="31" fillId="0" borderId="0" xfId="42" applyNumberFormat="1" applyFont="1" applyAlignment="1">
      <alignment horizontal="left" vertical="top" wrapText="1"/>
    </xf>
    <xf numFmtId="0" fontId="27" fillId="0" borderId="0" xfId="0" applyFont="1" applyAlignment="1">
      <alignment horizontal="left"/>
    </xf>
    <xf numFmtId="0" fontId="23" fillId="18" borderId="21" xfId="0" applyFont="1" applyFill="1" applyBorder="1" applyAlignment="1">
      <alignment horizontal="center" vertical="center" wrapText="1"/>
    </xf>
    <xf numFmtId="0" fontId="23" fillId="18" borderId="12" xfId="0" applyFont="1" applyFill="1" applyBorder="1" applyAlignment="1">
      <alignment horizontal="center" vertical="center" wrapText="1"/>
    </xf>
    <xf numFmtId="166" fontId="31" fillId="0" borderId="0" xfId="42" applyNumberFormat="1" applyFont="1" applyAlignment="1">
      <alignment horizontal="left" vertical="top" wrapText="1"/>
    </xf>
    <xf numFmtId="166" fontId="32" fillId="0" borderId="0" xfId="42" applyNumberFormat="1" applyFont="1" applyAlignment="1">
      <alignment horizontal="left" vertical="top" wrapText="1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wrapText="1"/>
    </xf>
    <xf numFmtId="4" fontId="24" fillId="20" borderId="20" xfId="0" applyNumberFormat="1" applyFont="1" applyFill="1" applyBorder="1" applyAlignment="1">
      <alignment horizontal="right" vertical="center"/>
    </xf>
    <xf numFmtId="4" fontId="24" fillId="20" borderId="25" xfId="0" applyNumberFormat="1" applyFont="1" applyFill="1" applyBorder="1" applyAlignment="1">
      <alignment horizontal="right" vertical="center"/>
    </xf>
    <xf numFmtId="4" fontId="20" fillId="0" borderId="16" xfId="0" applyNumberFormat="1" applyFont="1" applyBorder="1" applyAlignment="1">
      <alignment horizontal="right" vertical="center"/>
    </xf>
    <xf numFmtId="4" fontId="20" fillId="0" borderId="23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horizontal="right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18" xfId="0" applyNumberFormat="1" applyFont="1" applyBorder="1" applyAlignment="1">
      <alignment horizontal="right" vertical="center"/>
    </xf>
    <xf numFmtId="4" fontId="20" fillId="0" borderId="24" xfId="0" applyNumberFormat="1" applyFont="1" applyBorder="1" applyAlignment="1">
      <alignment horizontal="right" vertical="center"/>
    </xf>
    <xf numFmtId="0" fontId="33" fillId="0" borderId="0" xfId="43"/>
    <xf numFmtId="0" fontId="34" fillId="0" borderId="0" xfId="43" applyFont="1" applyAlignment="1">
      <alignment horizontal="left" vertical="center"/>
    </xf>
    <xf numFmtId="0" fontId="34" fillId="0" borderId="0" xfId="43" applyFont="1" applyAlignment="1">
      <alignment horizontal="left" vertical="center" wrapText="1"/>
    </xf>
    <xf numFmtId="0" fontId="35" fillId="0" borderId="0" xfId="43" applyFont="1" applyAlignment="1">
      <alignment horizontal="left" vertical="center"/>
    </xf>
    <xf numFmtId="0" fontId="36" fillId="0" borderId="29" xfId="43" applyFont="1" applyBorder="1" applyAlignment="1">
      <alignment horizontal="left" vertical="center"/>
    </xf>
    <xf numFmtId="0" fontId="36" fillId="0" borderId="30" xfId="43" applyFont="1" applyBorder="1" applyAlignment="1">
      <alignment horizontal="left" vertical="center"/>
    </xf>
    <xf numFmtId="0" fontId="36" fillId="0" borderId="31" xfId="43" applyFont="1" applyBorder="1" applyAlignment="1">
      <alignment horizontal="left" vertical="center"/>
    </xf>
    <xf numFmtId="0" fontId="36" fillId="0" borderId="32" xfId="43" applyFont="1" applyBorder="1" applyAlignment="1">
      <alignment horizontal="left" vertical="center"/>
    </xf>
    <xf numFmtId="0" fontId="36" fillId="0" borderId="0" xfId="43" applyFont="1" applyAlignment="1">
      <alignment horizontal="left" vertical="center"/>
    </xf>
    <xf numFmtId="0" fontId="36" fillId="0" borderId="33" xfId="43" applyFont="1" applyBorder="1" applyAlignment="1">
      <alignment horizontal="left" vertical="center"/>
    </xf>
    <xf numFmtId="0" fontId="36" fillId="0" borderId="34" xfId="43" applyFont="1" applyBorder="1" applyAlignment="1">
      <alignment horizontal="left" vertical="center"/>
    </xf>
    <xf numFmtId="0" fontId="36" fillId="0" borderId="35" xfId="43" applyFont="1" applyBorder="1" applyAlignment="1">
      <alignment horizontal="left" vertical="center"/>
    </xf>
    <xf numFmtId="0" fontId="36" fillId="0" borderId="36" xfId="43" applyFont="1" applyBorder="1" applyAlignment="1">
      <alignment horizontal="left" vertical="center"/>
    </xf>
    <xf numFmtId="4" fontId="37" fillId="22" borderId="37" xfId="43" applyNumberFormat="1" applyFont="1" applyFill="1" applyBorder="1" applyAlignment="1">
      <alignment horizontal="right" vertical="center"/>
    </xf>
    <xf numFmtId="0" fontId="37" fillId="22" borderId="38" xfId="43" applyFont="1" applyFill="1" applyBorder="1" applyAlignment="1">
      <alignment horizontal="left" vertical="center"/>
    </xf>
    <xf numFmtId="0" fontId="37" fillId="22" borderId="39" xfId="43" applyFont="1" applyFill="1" applyBorder="1" applyAlignment="1">
      <alignment horizontal="left" vertical="center"/>
    </xf>
    <xf numFmtId="4" fontId="37" fillId="22" borderId="40" xfId="43" applyNumberFormat="1" applyFont="1" applyFill="1" applyBorder="1" applyAlignment="1">
      <alignment horizontal="right" vertical="center"/>
    </xf>
    <xf numFmtId="0" fontId="37" fillId="22" borderId="41" xfId="43" applyFont="1" applyFill="1" applyBorder="1" applyAlignment="1">
      <alignment horizontal="left" vertical="center"/>
    </xf>
    <xf numFmtId="0" fontId="37" fillId="22" borderId="42" xfId="43" applyFont="1" applyFill="1" applyBorder="1" applyAlignment="1">
      <alignment horizontal="left" vertical="center"/>
    </xf>
    <xf numFmtId="4" fontId="36" fillId="0" borderId="37" xfId="43" applyNumberFormat="1" applyFont="1" applyBorder="1" applyAlignment="1">
      <alignment horizontal="right" vertical="center"/>
    </xf>
    <xf numFmtId="0" fontId="37" fillId="0" borderId="37" xfId="43" applyFont="1" applyBorder="1" applyAlignment="1">
      <alignment horizontal="left" vertical="center"/>
    </xf>
    <xf numFmtId="0" fontId="37" fillId="0" borderId="39" xfId="43" applyFont="1" applyBorder="1" applyAlignment="1">
      <alignment horizontal="left" vertical="center"/>
    </xf>
    <xf numFmtId="0" fontId="37" fillId="0" borderId="38" xfId="43" applyFont="1" applyBorder="1" applyAlignment="1">
      <alignment horizontal="left" vertical="center"/>
    </xf>
    <xf numFmtId="4" fontId="36" fillId="0" borderId="43" xfId="43" applyNumberFormat="1" applyFont="1" applyBorder="1" applyAlignment="1">
      <alignment horizontal="right" vertical="center"/>
    </xf>
    <xf numFmtId="4" fontId="36" fillId="0" borderId="40" xfId="43" applyNumberFormat="1" applyFont="1" applyBorder="1" applyAlignment="1">
      <alignment horizontal="right" vertical="center"/>
    </xf>
    <xf numFmtId="0" fontId="37" fillId="0" borderId="40" xfId="43" applyFont="1" applyBorder="1" applyAlignment="1">
      <alignment horizontal="left" vertical="center"/>
    </xf>
    <xf numFmtId="0" fontId="37" fillId="0" borderId="41" xfId="43" applyFont="1" applyBorder="1" applyAlignment="1">
      <alignment horizontal="left" vertical="center"/>
    </xf>
    <xf numFmtId="0" fontId="37" fillId="0" borderId="42" xfId="43" applyFont="1" applyBorder="1" applyAlignment="1">
      <alignment horizontal="left" vertical="center"/>
    </xf>
    <xf numFmtId="0" fontId="36" fillId="0" borderId="44" xfId="43" applyFont="1" applyBorder="1" applyAlignment="1">
      <alignment horizontal="right" vertical="center"/>
    </xf>
    <xf numFmtId="0" fontId="36" fillId="0" borderId="44" xfId="43" applyFont="1" applyBorder="1" applyAlignment="1">
      <alignment horizontal="left" vertical="center"/>
    </xf>
    <xf numFmtId="4" fontId="36" fillId="0" borderId="44" xfId="43" applyNumberFormat="1" applyFont="1" applyBorder="1" applyAlignment="1">
      <alignment horizontal="right" vertical="center"/>
    </xf>
    <xf numFmtId="0" fontId="37" fillId="0" borderId="44" xfId="43" applyFont="1" applyBorder="1" applyAlignment="1">
      <alignment horizontal="left" vertical="center"/>
    </xf>
    <xf numFmtId="0" fontId="37" fillId="0" borderId="45" xfId="43" applyFont="1" applyBorder="1" applyAlignment="1">
      <alignment horizontal="left" vertical="center"/>
    </xf>
    <xf numFmtId="0" fontId="36" fillId="0" borderId="37" xfId="43" applyFont="1" applyBorder="1" applyAlignment="1">
      <alignment horizontal="right" vertical="center"/>
    </xf>
    <xf numFmtId="0" fontId="36" fillId="0" borderId="37" xfId="43" applyFont="1" applyBorder="1" applyAlignment="1">
      <alignment horizontal="left" vertical="center"/>
    </xf>
    <xf numFmtId="0" fontId="36" fillId="0" borderId="38" xfId="43" applyFont="1" applyBorder="1" applyAlignment="1">
      <alignment horizontal="left" vertical="center"/>
    </xf>
    <xf numFmtId="0" fontId="36" fillId="0" borderId="37" xfId="43" applyFont="1" applyBorder="1" applyAlignment="1">
      <alignment horizontal="left" vertical="center"/>
    </xf>
    <xf numFmtId="0" fontId="37" fillId="0" borderId="46" xfId="43" applyFont="1" applyBorder="1" applyAlignment="1">
      <alignment horizontal="left" vertical="center"/>
    </xf>
    <xf numFmtId="0" fontId="37" fillId="0" borderId="47" xfId="43" applyFont="1" applyBorder="1" applyAlignment="1">
      <alignment horizontal="left" vertical="center"/>
    </xf>
    <xf numFmtId="0" fontId="38" fillId="0" borderId="40" xfId="43" applyFont="1" applyBorder="1" applyAlignment="1">
      <alignment horizontal="left" vertical="center"/>
    </xf>
    <xf numFmtId="0" fontId="38" fillId="0" borderId="41" xfId="43" applyFont="1" applyBorder="1" applyAlignment="1">
      <alignment horizontal="left" vertical="center"/>
    </xf>
    <xf numFmtId="0" fontId="39" fillId="22" borderId="40" xfId="43" applyFont="1" applyFill="1" applyBorder="1" applyAlignment="1">
      <alignment horizontal="center" vertical="center"/>
    </xf>
    <xf numFmtId="0" fontId="39" fillId="22" borderId="48" xfId="43" applyFont="1" applyFill="1" applyBorder="1" applyAlignment="1">
      <alignment horizontal="center" vertical="center"/>
    </xf>
    <xf numFmtId="0" fontId="40" fillId="0" borderId="0" xfId="43" applyFont="1" applyAlignment="1">
      <alignment horizontal="center" vertical="center"/>
    </xf>
    <xf numFmtId="0" fontId="34" fillId="0" borderId="37" xfId="43" applyFont="1" applyBorder="1" applyAlignment="1">
      <alignment horizontal="left" vertical="center"/>
    </xf>
    <xf numFmtId="0" fontId="34" fillId="0" borderId="38" xfId="43" applyFont="1" applyBorder="1" applyAlignment="1">
      <alignment horizontal="left" vertical="center"/>
    </xf>
    <xf numFmtId="0" fontId="34" fillId="0" borderId="39" xfId="43" applyFont="1" applyBorder="1" applyAlignment="1">
      <alignment horizontal="left" vertical="center"/>
    </xf>
    <xf numFmtId="0" fontId="34" fillId="0" borderId="44" xfId="43" applyFont="1" applyBorder="1" applyAlignment="1">
      <alignment horizontal="left" vertical="center" wrapText="1"/>
    </xf>
    <xf numFmtId="0" fontId="34" fillId="0" borderId="45" xfId="43" applyFont="1" applyBorder="1" applyAlignment="1">
      <alignment horizontal="left" vertical="center" wrapText="1"/>
    </xf>
    <xf numFmtId="0" fontId="34" fillId="0" borderId="44" xfId="43" applyFont="1" applyBorder="1" applyAlignment="1">
      <alignment horizontal="left" vertical="center"/>
    </xf>
    <xf numFmtId="0" fontId="34" fillId="0" borderId="45" xfId="43" applyFont="1" applyBorder="1" applyAlignment="1">
      <alignment horizontal="left" vertical="center"/>
    </xf>
    <xf numFmtId="1" fontId="34" fillId="0" borderId="44" xfId="43" applyNumberFormat="1" applyFont="1" applyBorder="1" applyAlignment="1">
      <alignment horizontal="left" vertical="center"/>
    </xf>
    <xf numFmtId="0" fontId="41" fillId="0" borderId="0" xfId="43" applyFont="1" applyAlignment="1">
      <alignment horizontal="left" vertical="center"/>
    </xf>
    <xf numFmtId="0" fontId="41" fillId="0" borderId="0" xfId="43" applyFont="1" applyAlignment="1">
      <alignment horizontal="left" vertical="center" wrapText="1"/>
    </xf>
    <xf numFmtId="0" fontId="42" fillId="0" borderId="0" xfId="43" applyFont="1" applyAlignment="1">
      <alignment horizontal="left" vertical="center"/>
    </xf>
    <xf numFmtId="0" fontId="43" fillId="0" borderId="0" xfId="43" applyFont="1" applyAlignment="1">
      <alignment horizontal="left" vertical="center"/>
    </xf>
    <xf numFmtId="0" fontId="42" fillId="0" borderId="0" xfId="43" applyFont="1" applyAlignment="1">
      <alignment horizontal="left" vertical="center" wrapText="1"/>
    </xf>
    <xf numFmtId="0" fontId="43" fillId="0" borderId="0" xfId="43" applyFont="1" applyAlignment="1">
      <alignment horizontal="left" vertical="center" wrapText="1"/>
    </xf>
    <xf numFmtId="0" fontId="34" fillId="0" borderId="49" xfId="43" applyFont="1" applyBorder="1" applyAlignment="1">
      <alignment horizontal="left" vertical="center"/>
    </xf>
    <xf numFmtId="0" fontId="34" fillId="0" borderId="50" xfId="43" applyFont="1" applyBorder="1" applyAlignment="1">
      <alignment horizontal="left" vertical="center" wrapText="1"/>
    </xf>
    <xf numFmtId="0" fontId="42" fillId="0" borderId="50" xfId="43" applyFont="1" applyBorder="1" applyAlignment="1">
      <alignment horizontal="left" vertical="center"/>
    </xf>
    <xf numFmtId="0" fontId="42" fillId="0" borderId="50" xfId="43" applyFont="1" applyBorder="1" applyAlignment="1">
      <alignment horizontal="left" vertical="center" wrapText="1"/>
    </xf>
    <xf numFmtId="0" fontId="43" fillId="0" borderId="50" xfId="43" applyFont="1" applyBorder="1" applyAlignment="1">
      <alignment horizontal="left" vertical="center"/>
    </xf>
    <xf numFmtId="0" fontId="43" fillId="0" borderId="50" xfId="43" applyFont="1" applyBorder="1" applyAlignment="1">
      <alignment horizontal="left" vertical="center" wrapText="1"/>
    </xf>
    <xf numFmtId="0" fontId="34" fillId="0" borderId="50" xfId="43" applyFont="1" applyBorder="1" applyAlignment="1">
      <alignment horizontal="left" vertical="center"/>
    </xf>
    <xf numFmtId="0" fontId="34" fillId="0" borderId="51" xfId="43" applyFont="1" applyBorder="1" applyAlignment="1">
      <alignment horizontal="left" vertical="center" wrapText="1"/>
    </xf>
    <xf numFmtId="0" fontId="44" fillId="0" borderId="0" xfId="43" applyFont="1" applyAlignment="1">
      <alignment horizontal="center" vertical="center"/>
    </xf>
    <xf numFmtId="0" fontId="44" fillId="0" borderId="0" xfId="43" applyFont="1" applyAlignment="1">
      <alignment horizontal="center" vertical="center" wrapText="1"/>
    </xf>
    <xf numFmtId="4" fontId="42" fillId="0" borderId="0" xfId="43" applyNumberFormat="1" applyFont="1" applyAlignment="1">
      <alignment horizontal="right" vertical="center"/>
    </xf>
    <xf numFmtId="0" fontId="33" fillId="0" borderId="37" xfId="43" applyBorder="1"/>
    <xf numFmtId="0" fontId="33" fillId="0" borderId="38" xfId="43" applyBorder="1"/>
    <xf numFmtId="4" fontId="45" fillId="0" borderId="38" xfId="43" applyNumberFormat="1" applyFont="1" applyBorder="1" applyAlignment="1">
      <alignment horizontal="right" vertical="center"/>
    </xf>
    <xf numFmtId="0" fontId="45" fillId="0" borderId="38" xfId="43" applyFont="1" applyBorder="1" applyAlignment="1">
      <alignment horizontal="left" vertical="center"/>
    </xf>
    <xf numFmtId="0" fontId="33" fillId="0" borderId="39" xfId="43" applyBorder="1"/>
    <xf numFmtId="0" fontId="34" fillId="0" borderId="0" xfId="43" applyFont="1" applyAlignment="1">
      <alignment horizontal="left" vertical="center" wrapText="1"/>
    </xf>
    <xf numFmtId="4" fontId="34" fillId="0" borderId="0" xfId="43" applyNumberFormat="1" applyFont="1" applyAlignment="1">
      <alignment horizontal="right" vertical="center"/>
    </xf>
    <xf numFmtId="0" fontId="34" fillId="0" borderId="0" xfId="43" applyFont="1" applyAlignment="1">
      <alignment horizontal="right" vertical="center"/>
    </xf>
    <xf numFmtId="0" fontId="46" fillId="22" borderId="0" xfId="43" applyFont="1" applyFill="1" applyAlignment="1">
      <alignment horizontal="right" vertical="center"/>
    </xf>
    <xf numFmtId="0" fontId="34" fillId="0" borderId="44" xfId="43" applyFont="1" applyBorder="1" applyAlignment="1">
      <alignment horizontal="right" vertical="center"/>
    </xf>
    <xf numFmtId="4" fontId="34" fillId="21" borderId="0" xfId="43" applyNumberFormat="1" applyFont="1" applyFill="1" applyAlignment="1">
      <alignment horizontal="right" vertical="center"/>
    </xf>
    <xf numFmtId="0" fontId="47" fillId="0" borderId="0" xfId="43" applyFont="1" applyAlignment="1">
      <alignment horizontal="left" vertical="center"/>
    </xf>
    <xf numFmtId="0" fontId="34" fillId="0" borderId="0" xfId="43" applyFont="1" applyAlignment="1">
      <alignment horizontal="left" vertical="center"/>
    </xf>
    <xf numFmtId="0" fontId="34" fillId="0" borderId="45" xfId="43" applyFont="1" applyBorder="1" applyAlignment="1">
      <alignment horizontal="left" vertical="center"/>
    </xf>
    <xf numFmtId="4" fontId="46" fillId="22" borderId="0" xfId="43" applyNumberFormat="1" applyFont="1" applyFill="1" applyAlignment="1">
      <alignment horizontal="right" vertical="center"/>
    </xf>
    <xf numFmtId="0" fontId="46" fillId="22" borderId="44" xfId="43" applyFont="1" applyFill="1" applyBorder="1" applyAlignment="1">
      <alignment horizontal="right" vertical="center"/>
    </xf>
    <xf numFmtId="0" fontId="34" fillId="22" borderId="0" xfId="43" applyFont="1" applyFill="1" applyAlignment="1">
      <alignment horizontal="left" vertical="center"/>
    </xf>
    <xf numFmtId="0" fontId="46" fillId="22" borderId="0" xfId="43" applyFont="1" applyFill="1" applyAlignment="1">
      <alignment horizontal="left" vertical="center"/>
    </xf>
    <xf numFmtId="0" fontId="46" fillId="22" borderId="0" xfId="43" applyFont="1" applyFill="1" applyAlignment="1">
      <alignment horizontal="left" vertical="center" wrapText="1"/>
    </xf>
    <xf numFmtId="0" fontId="46" fillId="22" borderId="0" xfId="43" applyFont="1" applyFill="1" applyAlignment="1">
      <alignment horizontal="left" vertical="center"/>
    </xf>
    <xf numFmtId="0" fontId="34" fillId="22" borderId="45" xfId="43" applyFont="1" applyFill="1" applyBorder="1" applyAlignment="1">
      <alignment horizontal="left" vertical="center"/>
    </xf>
    <xf numFmtId="0" fontId="33" fillId="0" borderId="44" xfId="43" applyBorder="1"/>
    <xf numFmtId="4" fontId="45" fillId="0" borderId="0" xfId="43" applyNumberFormat="1" applyFont="1" applyAlignment="1">
      <alignment horizontal="right" vertical="center"/>
    </xf>
    <xf numFmtId="0" fontId="45" fillId="0" borderId="0" xfId="43" applyFont="1" applyAlignment="1">
      <alignment horizontal="left" vertical="center"/>
    </xf>
    <xf numFmtId="0" fontId="33" fillId="0" borderId="45" xfId="43" applyBorder="1"/>
    <xf numFmtId="0" fontId="47" fillId="0" borderId="0" xfId="43" applyFont="1" applyAlignment="1">
      <alignment horizontal="left" vertical="center" wrapText="1"/>
    </xf>
    <xf numFmtId="0" fontId="33" fillId="0" borderId="0" xfId="43" applyAlignment="1">
      <alignment horizontal="left" vertical="center"/>
    </xf>
    <xf numFmtId="0" fontId="45" fillId="0" borderId="0" xfId="43" applyFont="1" applyAlignment="1">
      <alignment horizontal="left" vertical="center"/>
    </xf>
    <xf numFmtId="0" fontId="45" fillId="0" borderId="44" xfId="43" applyFont="1" applyBorder="1" applyAlignment="1">
      <alignment horizontal="left" vertical="center"/>
    </xf>
    <xf numFmtId="0" fontId="45" fillId="0" borderId="0" xfId="43" applyFont="1" applyAlignment="1">
      <alignment horizontal="left" vertical="center" wrapText="1"/>
    </xf>
    <xf numFmtId="0" fontId="46" fillId="0" borderId="52" xfId="43" applyFont="1" applyBorder="1" applyAlignment="1">
      <alignment horizontal="center" vertical="center"/>
    </xf>
    <xf numFmtId="0" fontId="46" fillId="0" borderId="30" xfId="43" applyFont="1" applyBorder="1" applyAlignment="1">
      <alignment horizontal="center" vertical="center"/>
    </xf>
    <xf numFmtId="0" fontId="46" fillId="0" borderId="43" xfId="43" applyFont="1" applyBorder="1" applyAlignment="1">
      <alignment horizontal="center" vertical="center"/>
    </xf>
    <xf numFmtId="0" fontId="46" fillId="0" borderId="29" xfId="43" applyFont="1" applyBorder="1" applyAlignment="1">
      <alignment horizontal="center" vertical="center"/>
    </xf>
    <xf numFmtId="0" fontId="34" fillId="0" borderId="43" xfId="43" applyFont="1" applyBorder="1" applyAlignment="1">
      <alignment horizontal="left" vertical="center"/>
    </xf>
    <xf numFmtId="0" fontId="46" fillId="0" borderId="43" xfId="43" applyFont="1" applyBorder="1" applyAlignment="1">
      <alignment horizontal="left" vertical="center"/>
    </xf>
    <xf numFmtId="0" fontId="46" fillId="0" borderId="30" xfId="43" applyFont="1" applyBorder="1" applyAlignment="1">
      <alignment horizontal="left" vertical="center"/>
    </xf>
    <xf numFmtId="0" fontId="34" fillId="0" borderId="53" xfId="43" applyFont="1" applyBorder="1" applyAlignment="1">
      <alignment horizontal="left" vertical="center"/>
    </xf>
    <xf numFmtId="0" fontId="46" fillId="0" borderId="0" xfId="43" applyFont="1" applyAlignment="1">
      <alignment horizontal="right" vertical="center"/>
    </xf>
    <xf numFmtId="0" fontId="46" fillId="0" borderId="54" xfId="43" applyFont="1" applyBorder="1" applyAlignment="1">
      <alignment horizontal="center" vertical="center"/>
    </xf>
    <xf numFmtId="0" fontId="46" fillId="0" borderId="55" xfId="43" applyFont="1" applyBorder="1" applyAlignment="1">
      <alignment horizontal="center" vertical="center"/>
    </xf>
    <xf numFmtId="0" fontId="46" fillId="0" borderId="56" xfId="43" applyFont="1" applyBorder="1" applyAlignment="1">
      <alignment horizontal="center" vertical="center"/>
    </xf>
    <xf numFmtId="0" fontId="46" fillId="0" borderId="57" xfId="43" applyFont="1" applyBorder="1" applyAlignment="1">
      <alignment horizontal="center" vertical="center"/>
    </xf>
    <xf numFmtId="0" fontId="46" fillId="0" borderId="35" xfId="43" applyFont="1" applyBorder="1" applyAlignment="1">
      <alignment horizontal="center" vertical="center"/>
    </xf>
    <xf numFmtId="0" fontId="46" fillId="0" borderId="58" xfId="43" applyFont="1" applyBorder="1" applyAlignment="1">
      <alignment horizontal="center" vertical="center"/>
    </xf>
    <xf numFmtId="0" fontId="46" fillId="0" borderId="58" xfId="43" applyFont="1" applyBorder="1" applyAlignment="1">
      <alignment horizontal="left" vertical="center"/>
    </xf>
    <xf numFmtId="0" fontId="46" fillId="0" borderId="58" xfId="43" applyFont="1" applyBorder="1" applyAlignment="1">
      <alignment horizontal="left" vertical="center"/>
    </xf>
    <xf numFmtId="0" fontId="46" fillId="0" borderId="35" xfId="43" applyFont="1" applyBorder="1" applyAlignment="1">
      <alignment horizontal="left" vertical="center"/>
    </xf>
    <xf numFmtId="0" fontId="46" fillId="0" borderId="59" xfId="43" applyFont="1" applyBorder="1" applyAlignment="1">
      <alignment horizontal="left" vertical="center"/>
    </xf>
    <xf numFmtId="0" fontId="42" fillId="0" borderId="44" xfId="43" applyFont="1" applyBorder="1" applyAlignment="1">
      <alignment horizontal="left" vertical="center"/>
    </xf>
    <xf numFmtId="0" fontId="43" fillId="0" borderId="44" xfId="43" applyFont="1" applyBorder="1" applyAlignment="1">
      <alignment horizontal="left" vertical="center"/>
    </xf>
    <xf numFmtId="0" fontId="49" fillId="0" borderId="0" xfId="43" applyFont="1" applyAlignment="1">
      <alignment horizontal="left" vertical="center"/>
    </xf>
    <xf numFmtId="0" fontId="43" fillId="0" borderId="49" xfId="43" applyFont="1" applyBorder="1" applyAlignment="1">
      <alignment horizontal="left" vertical="center"/>
    </xf>
    <xf numFmtId="0" fontId="49" fillId="0" borderId="50" xfId="43" applyFont="1" applyBorder="1" applyAlignment="1">
      <alignment horizontal="left" vertical="center"/>
    </xf>
    <xf numFmtId="0" fontId="49" fillId="0" borderId="50" xfId="43" applyFont="1" applyBorder="1" applyAlignment="1">
      <alignment horizontal="left" vertical="center" wrapText="1"/>
    </xf>
    <xf numFmtId="0" fontId="1" fillId="0" borderId="0" xfId="44"/>
    <xf numFmtId="49" fontId="1" fillId="0" borderId="0" xfId="44" applyNumberFormat="1"/>
    <xf numFmtId="0" fontId="1" fillId="0" borderId="60" xfId="44" applyBorder="1"/>
    <xf numFmtId="49" fontId="42" fillId="23" borderId="60" xfId="44" applyNumberFormat="1" applyFont="1" applyFill="1" applyBorder="1" applyAlignment="1">
      <alignment horizontal="left"/>
    </xf>
    <xf numFmtId="49" fontId="50" fillId="24" borderId="60" xfId="44" applyNumberFormat="1" applyFont="1" applyFill="1" applyBorder="1" applyAlignment="1">
      <alignment horizontal="left"/>
    </xf>
    <xf numFmtId="49" fontId="50" fillId="24" borderId="60" xfId="44" applyNumberFormat="1" applyFont="1" applyFill="1" applyBorder="1" applyAlignment="1">
      <alignment horizontal="left" wrapText="1"/>
    </xf>
    <xf numFmtId="49" fontId="50" fillId="25" borderId="60" xfId="44" applyNumberFormat="1" applyFont="1" applyFill="1" applyBorder="1" applyAlignment="1">
      <alignment horizontal="left"/>
    </xf>
    <xf numFmtId="49" fontId="43" fillId="26" borderId="60" xfId="44" applyNumberFormat="1" applyFont="1" applyFill="1" applyBorder="1" applyAlignment="1">
      <alignment horizontal="left"/>
    </xf>
    <xf numFmtId="49" fontId="49" fillId="27" borderId="60" xfId="44" applyNumberFormat="1" applyFont="1" applyFill="1" applyBorder="1" applyAlignment="1">
      <alignment horizontal="left"/>
    </xf>
    <xf numFmtId="4" fontId="1" fillId="0" borderId="0" xfId="44" applyNumberFormat="1"/>
    <xf numFmtId="4" fontId="49" fillId="27" borderId="60" xfId="44" applyNumberFormat="1" applyFont="1" applyFill="1" applyBorder="1" applyAlignment="1">
      <alignment horizontal="right"/>
    </xf>
    <xf numFmtId="4" fontId="50" fillId="25" borderId="60" xfId="44" applyNumberFormat="1" applyFont="1" applyFill="1" applyBorder="1" applyAlignment="1">
      <alignment horizontal="right"/>
    </xf>
    <xf numFmtId="4" fontId="43" fillId="26" borderId="60" xfId="44" applyNumberFormat="1" applyFont="1" applyFill="1" applyBorder="1" applyAlignment="1">
      <alignment horizontal="right"/>
    </xf>
    <xf numFmtId="4" fontId="42" fillId="23" borderId="60" xfId="44" applyNumberFormat="1" applyFont="1" applyFill="1" applyBorder="1" applyAlignment="1">
      <alignment horizontal="right"/>
    </xf>
    <xf numFmtId="4" fontId="50" fillId="24" borderId="60" xfId="44" applyNumberFormat="1" applyFont="1" applyFill="1" applyBorder="1" applyAlignment="1">
      <alignment horizontal="left"/>
    </xf>
    <xf numFmtId="49" fontId="1" fillId="0" borderId="0" xfId="44" applyNumberFormat="1" applyAlignment="1">
      <alignment wrapText="1"/>
    </xf>
    <xf numFmtId="49" fontId="50" fillId="25" borderId="60" xfId="44" applyNumberFormat="1" applyFont="1" applyFill="1" applyBorder="1" applyAlignment="1">
      <alignment horizontal="left" wrapText="1"/>
    </xf>
    <xf numFmtId="49" fontId="49" fillId="27" borderId="60" xfId="44" applyNumberFormat="1" applyFont="1" applyFill="1" applyBorder="1" applyAlignment="1">
      <alignment horizontal="left" wrapText="1"/>
    </xf>
    <xf numFmtId="4" fontId="50" fillId="21" borderId="60" xfId="44" applyNumberFormat="1" applyFont="1" applyFill="1" applyBorder="1" applyAlignment="1">
      <alignment horizontal="right"/>
    </xf>
    <xf numFmtId="4" fontId="51" fillId="28" borderId="60" xfId="44" applyNumberFormat="1" applyFont="1" applyFill="1" applyBorder="1" applyAlignment="1">
      <alignment horizontal="right"/>
    </xf>
    <xf numFmtId="49" fontId="51" fillId="28" borderId="60" xfId="44" applyNumberFormat="1" applyFont="1" applyFill="1" applyBorder="1" applyAlignment="1">
      <alignment horizontal="left"/>
    </xf>
    <xf numFmtId="49" fontId="51" fillId="28" borderId="60" xfId="44" applyNumberFormat="1" applyFont="1" applyFill="1" applyBorder="1" applyAlignment="1">
      <alignment horizontal="left" wrapText="1"/>
    </xf>
    <xf numFmtId="4" fontId="50" fillId="29" borderId="60" xfId="44" applyNumberFormat="1" applyFont="1" applyFill="1" applyBorder="1" applyAlignment="1">
      <alignment horizontal="right"/>
    </xf>
  </cellXfs>
  <cellStyles count="45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42" xr:uid="{00000000-0005-0000-0000-00001C000000}"/>
    <cellStyle name="Normální 3" xfId="43" xr:uid="{D63B09B5-6CF6-4D74-AD11-B60644F68F01}"/>
    <cellStyle name="Normální 4" xfId="44" xr:uid="{CFE58B4B-425A-4485-9727-491294E6F1C0}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62A279C9-7ED2-4788-B7EC-B72601DED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2B6B07E0-598D-4CBD-99F0-31772CFC0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_AXA\STAVBY\KRLIST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V&#253;kresy\OBJEKTY%20-%20ruzne\2024-11-ZOO%20-%20Le&#353;n&#225;-sloni-vyhlidka\Rozpo&#269;ty\D11%20Architektonicko-stavebni%20reseni-1.xlsx" TargetMode="External"/><Relationship Id="rId1" Type="http://schemas.openxmlformats.org/officeDocument/2006/relationships/externalLinkPath" Target="D11%20Architektonicko-stavebni%20resen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>
        <row r="13">
          <cell r="E13">
            <v>819616.74366862688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26">
          <cell r="H26">
            <v>6556.9339493490152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List2"/>
      <sheetName val="VORN"/>
    </sheetNames>
    <sheetDataSet>
      <sheetData sheetId="0" refreshError="1"/>
      <sheetData sheetId="1" refreshError="1"/>
      <sheetData sheetId="2"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45">
          <cell r="I45">
            <v>137460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/>
  <dimension ref="A1:N84"/>
  <sheetViews>
    <sheetView showGridLines="0" tabSelected="1" view="pageBreakPreview" topLeftCell="B1" zoomScale="130" zoomScaleNormal="100" zoomScaleSheetLayoutView="130" workbookViewId="0">
      <selection activeCell="H38" sqref="H38"/>
    </sheetView>
  </sheetViews>
  <sheetFormatPr defaultColWidth="9.140625" defaultRowHeight="12.75" x14ac:dyDescent="0.2"/>
  <cols>
    <col min="1" max="1" width="0.5703125" style="1" hidden="1" customWidth="1"/>
    <col min="2" max="2" width="6.7109375" style="1" customWidth="1"/>
    <col min="3" max="3" width="9.140625" style="1"/>
    <col min="4" max="4" width="6.85546875" style="1" customWidth="1"/>
    <col min="5" max="5" width="17" style="1" customWidth="1"/>
    <col min="6" max="6" width="14.5703125" style="1" customWidth="1"/>
    <col min="7" max="7" width="9.7109375" style="2" customWidth="1"/>
    <col min="8" max="8" width="15" style="1" customWidth="1"/>
    <col min="9" max="9" width="13.42578125" style="2" customWidth="1"/>
    <col min="10" max="10" width="6.140625" style="2" customWidth="1"/>
    <col min="11" max="14" width="10.7109375" style="1" customWidth="1"/>
    <col min="15" max="16384" width="9.140625" style="1"/>
  </cols>
  <sheetData>
    <row r="1" spans="2:14" ht="8.4499999999999993" customHeight="1" x14ac:dyDescent="0.2"/>
    <row r="2" spans="2:14" ht="21" customHeight="1" x14ac:dyDescent="0.45">
      <c r="B2" s="3"/>
      <c r="C2" s="57" t="s">
        <v>19</v>
      </c>
      <c r="E2" s="5"/>
      <c r="F2" s="4"/>
      <c r="G2" s="6"/>
      <c r="H2" s="7" t="s">
        <v>0</v>
      </c>
      <c r="I2" s="8">
        <v>45980</v>
      </c>
      <c r="K2" s="3"/>
    </row>
    <row r="3" spans="2:14" ht="6" customHeight="1" x14ac:dyDescent="0.2">
      <c r="C3" s="9"/>
      <c r="D3" s="10" t="s">
        <v>1</v>
      </c>
    </row>
    <row r="4" spans="2:14" ht="4.5" customHeight="1" x14ac:dyDescent="0.2"/>
    <row r="5" spans="2:14" ht="68.25" customHeight="1" x14ac:dyDescent="0.5">
      <c r="C5" s="58" t="s">
        <v>2</v>
      </c>
      <c r="D5" s="11"/>
      <c r="E5" s="76" t="s">
        <v>51</v>
      </c>
      <c r="F5" s="77"/>
      <c r="G5" s="77"/>
      <c r="H5" s="77"/>
      <c r="I5" s="77"/>
      <c r="N5" s="8"/>
    </row>
    <row r="6" spans="2:14" ht="15.75" x14ac:dyDescent="0.25">
      <c r="E6" s="12" t="s">
        <v>20</v>
      </c>
    </row>
    <row r="7" spans="2:14" ht="15.75" x14ac:dyDescent="0.25">
      <c r="E7" s="12"/>
    </row>
    <row r="8" spans="2:14" ht="15.75" x14ac:dyDescent="0.25">
      <c r="E8" s="12"/>
    </row>
    <row r="9" spans="2:14" ht="19.149999999999999" customHeight="1" x14ac:dyDescent="0.25">
      <c r="C9" s="14" t="s">
        <v>12</v>
      </c>
      <c r="D9" s="50"/>
      <c r="E9" s="67" t="s">
        <v>21</v>
      </c>
      <c r="H9" s="16" t="s">
        <v>25</v>
      </c>
      <c r="I9" s="10" t="s">
        <v>23</v>
      </c>
      <c r="J9" s="15"/>
      <c r="K9" s="15"/>
    </row>
    <row r="10" spans="2:14" ht="15" x14ac:dyDescent="0.25">
      <c r="C10" s="16"/>
      <c r="D10" s="50"/>
      <c r="E10" s="59" t="s">
        <v>22</v>
      </c>
      <c r="H10" s="16" t="s">
        <v>3</v>
      </c>
      <c r="I10" s="2" t="s">
        <v>24</v>
      </c>
      <c r="J10" s="15"/>
    </row>
    <row r="11" spans="2:14" x14ac:dyDescent="0.2">
      <c r="C11" s="16"/>
      <c r="D11" s="50"/>
      <c r="H11" s="16"/>
      <c r="J11" s="15"/>
    </row>
    <row r="12" spans="2:14" x14ac:dyDescent="0.2">
      <c r="C12" s="16"/>
      <c r="D12" s="50"/>
      <c r="H12" s="16"/>
      <c r="J12" s="15"/>
    </row>
    <row r="13" spans="2:14" x14ac:dyDescent="0.2">
      <c r="H13" s="16"/>
      <c r="J13" s="15"/>
    </row>
    <row r="14" spans="2:14" x14ac:dyDescent="0.2">
      <c r="H14" s="16"/>
      <c r="J14" s="15"/>
    </row>
    <row r="15" spans="2:14" x14ac:dyDescent="0.2">
      <c r="C15" s="14" t="s">
        <v>4</v>
      </c>
      <c r="H15" s="16" t="s">
        <v>25</v>
      </c>
      <c r="I15" s="10"/>
      <c r="J15" s="15"/>
      <c r="K15" s="15"/>
    </row>
    <row r="16" spans="2:14" x14ac:dyDescent="0.2">
      <c r="H16" s="16" t="s">
        <v>3</v>
      </c>
      <c r="I16" s="10"/>
      <c r="J16" s="15"/>
      <c r="K16" s="15"/>
    </row>
    <row r="17" spans="2:11" x14ac:dyDescent="0.2">
      <c r="H17" s="16"/>
      <c r="I17" s="10"/>
      <c r="J17" s="15"/>
      <c r="K17" s="15"/>
    </row>
    <row r="18" spans="2:11" ht="7.9" customHeight="1" x14ac:dyDescent="0.2">
      <c r="C18" s="16"/>
      <c r="J18" s="16"/>
    </row>
    <row r="19" spans="2:11" ht="18" customHeight="1" x14ac:dyDescent="0.2">
      <c r="C19" s="17" t="s">
        <v>5</v>
      </c>
      <c r="H19" s="17" t="s">
        <v>6</v>
      </c>
      <c r="J19" s="16"/>
    </row>
    <row r="20" spans="2:11" ht="9" customHeight="1" x14ac:dyDescent="0.2">
      <c r="J20" s="16"/>
    </row>
    <row r="21" spans="2:11" ht="16.149999999999999" customHeight="1" x14ac:dyDescent="0.2">
      <c r="C21" s="17" t="s">
        <v>7</v>
      </c>
      <c r="H21" s="17" t="s">
        <v>7</v>
      </c>
    </row>
    <row r="22" spans="2:11" ht="16.149999999999999" customHeight="1" x14ac:dyDescent="0.2">
      <c r="C22" s="17"/>
      <c r="H22" s="17"/>
    </row>
    <row r="23" spans="2:11" ht="16.149999999999999" customHeight="1" x14ac:dyDescent="0.2"/>
    <row r="24" spans="2:11" ht="13.5" customHeight="1" x14ac:dyDescent="0.2">
      <c r="B24" s="18"/>
      <c r="C24" s="19"/>
      <c r="D24" s="19"/>
      <c r="E24" s="20"/>
      <c r="F24" s="21"/>
      <c r="G24" s="22"/>
      <c r="H24" s="23"/>
      <c r="I24" s="22"/>
      <c r="J24" s="24" t="s">
        <v>8</v>
      </c>
      <c r="K24" s="25"/>
    </row>
    <row r="25" spans="2:11" ht="15" customHeight="1" x14ac:dyDescent="0.2">
      <c r="B25" s="26" t="s">
        <v>13</v>
      </c>
      <c r="C25" s="27"/>
      <c r="D25" s="28">
        <v>12</v>
      </c>
      <c r="E25" s="29" t="s">
        <v>9</v>
      </c>
      <c r="F25" s="30"/>
      <c r="G25" s="31"/>
      <c r="H25" s="31"/>
      <c r="I25" s="80">
        <f>G39</f>
        <v>0</v>
      </c>
      <c r="J25" s="81"/>
      <c r="K25" s="32"/>
    </row>
    <row r="26" spans="2:11" x14ac:dyDescent="0.2">
      <c r="B26" s="26" t="s">
        <v>10</v>
      </c>
      <c r="C26" s="27"/>
      <c r="D26" s="28">
        <f>SazbaDPH1</f>
        <v>12</v>
      </c>
      <c r="E26" s="29" t="s">
        <v>9</v>
      </c>
      <c r="F26" s="33"/>
      <c r="G26" s="34"/>
      <c r="H26" s="34"/>
      <c r="I26" s="82">
        <v>0</v>
      </c>
      <c r="J26" s="83"/>
      <c r="K26" s="32"/>
    </row>
    <row r="27" spans="2:11" x14ac:dyDescent="0.2">
      <c r="B27" s="26" t="s">
        <v>13</v>
      </c>
      <c r="C27" s="27"/>
      <c r="D27" s="28">
        <v>21</v>
      </c>
      <c r="E27" s="29" t="s">
        <v>9</v>
      </c>
      <c r="F27" s="33"/>
      <c r="G27" s="34"/>
      <c r="H27" s="34"/>
      <c r="I27" s="82">
        <f>H39</f>
        <v>0</v>
      </c>
      <c r="J27" s="83"/>
      <c r="K27" s="32"/>
    </row>
    <row r="28" spans="2:11" ht="13.5" thickBot="1" x14ac:dyDescent="0.25">
      <c r="B28" s="26" t="s">
        <v>10</v>
      </c>
      <c r="C28" s="27"/>
      <c r="D28" s="28">
        <f>SazbaDPH2</f>
        <v>21</v>
      </c>
      <c r="E28" s="29" t="s">
        <v>9</v>
      </c>
      <c r="F28" s="35"/>
      <c r="G28" s="36"/>
      <c r="H28" s="36"/>
      <c r="I28" s="84">
        <f>I39</f>
        <v>0</v>
      </c>
      <c r="J28" s="85"/>
      <c r="K28" s="32"/>
    </row>
    <row r="29" spans="2:11" ht="16.5" thickBot="1" x14ac:dyDescent="0.25">
      <c r="B29" s="37" t="s">
        <v>17</v>
      </c>
      <c r="C29" s="38"/>
      <c r="D29" s="38"/>
      <c r="E29" s="39"/>
      <c r="F29" s="40"/>
      <c r="G29" s="41"/>
      <c r="H29" s="41"/>
      <c r="I29" s="78">
        <f>SUM(I25:I28)</f>
        <v>0</v>
      </c>
      <c r="J29" s="79"/>
      <c r="K29" s="42"/>
    </row>
    <row r="32" spans="2:11" ht="9" customHeight="1" x14ac:dyDescent="0.2"/>
    <row r="33" spans="2:13" ht="1.5" customHeight="1" x14ac:dyDescent="0.2"/>
    <row r="34" spans="2:13" ht="15.75" customHeight="1" x14ac:dyDescent="0.25">
      <c r="B34" s="12" t="s">
        <v>52</v>
      </c>
      <c r="C34" s="43"/>
      <c r="D34" s="43"/>
      <c r="E34" s="43"/>
      <c r="F34" s="43"/>
      <c r="G34" s="43"/>
      <c r="H34" s="43"/>
      <c r="I34" s="43"/>
      <c r="J34" s="43"/>
      <c r="K34" s="43"/>
      <c r="L34" s="44"/>
    </row>
    <row r="35" spans="2:13" ht="5.25" customHeight="1" x14ac:dyDescent="0.2">
      <c r="L35" s="44"/>
    </row>
    <row r="36" spans="2:13" ht="24.75" customHeight="1" x14ac:dyDescent="0.2">
      <c r="B36" s="45" t="s">
        <v>11</v>
      </c>
      <c r="C36" s="46"/>
      <c r="D36" s="46"/>
      <c r="E36" s="47"/>
      <c r="F36" s="72" t="s">
        <v>15</v>
      </c>
      <c r="G36" s="73" t="str">
        <f>CONCATENATE("Základ DPH ",SazbaDPH1," %")</f>
        <v>Základ DPH 12 %</v>
      </c>
      <c r="H36" s="72" t="str">
        <f>CONCATENATE("Základ DPH ",SazbaDPH2," %")</f>
        <v>Základ DPH 21 %</v>
      </c>
      <c r="I36" s="72" t="s">
        <v>16</v>
      </c>
      <c r="J36" s="72" t="s">
        <v>9</v>
      </c>
    </row>
    <row r="37" spans="2:13" s="13" customFormat="1" x14ac:dyDescent="0.2">
      <c r="B37" s="51" t="s">
        <v>18</v>
      </c>
      <c r="C37" s="52" t="s">
        <v>26</v>
      </c>
      <c r="D37" s="53"/>
      <c r="E37" s="54"/>
      <c r="F37" s="65">
        <f t="shared" ref="F37" si="0">G37+H37+I37</f>
        <v>0</v>
      </c>
      <c r="G37" s="68">
        <v>0</v>
      </c>
      <c r="H37" s="69">
        <f>('Kryci list D11'!I28)</f>
        <v>0</v>
      </c>
      <c r="I37" s="65">
        <f t="shared" ref="I37" si="1">(G37*SazbaDPH1)/100+(H37*SazbaDPH2)/100</f>
        <v>0</v>
      </c>
      <c r="J37" s="55" t="str">
        <f t="shared" ref="J37" si="2">IF(CelkemObjekty=0,"",F37/CelkemObjekty*100)</f>
        <v/>
      </c>
      <c r="L37" s="56"/>
    </row>
    <row r="38" spans="2:13" s="13" customFormat="1" ht="13.5" thickBot="1" x14ac:dyDescent="0.25">
      <c r="B38" s="51" t="s">
        <v>48</v>
      </c>
      <c r="C38" s="52" t="s">
        <v>49</v>
      </c>
      <c r="D38" s="53"/>
      <c r="E38" s="54"/>
      <c r="F38" s="65">
        <f t="shared" ref="F38" si="3">G38+H38+I38</f>
        <v>0</v>
      </c>
      <c r="G38" s="68">
        <v>0</v>
      </c>
      <c r="H38" s="69">
        <f>('Rekapitulace D125'!C24)</f>
        <v>0</v>
      </c>
      <c r="I38" s="65">
        <f t="shared" ref="I38" si="4">(G38*SazbaDPH1)/100+(H38*SazbaDPH2)/100</f>
        <v>0</v>
      </c>
      <c r="J38" s="55" t="str">
        <f t="shared" ref="J38" si="5">IF(CelkemObjekty=0,"",F38/CelkemObjekty*100)</f>
        <v/>
      </c>
      <c r="L38" s="56"/>
    </row>
    <row r="39" spans="2:13" ht="21" customHeight="1" thickBot="1" x14ac:dyDescent="0.25">
      <c r="B39" s="60" t="s">
        <v>14</v>
      </c>
      <c r="C39" s="61"/>
      <c r="D39" s="62"/>
      <c r="E39" s="63"/>
      <c r="F39" s="66">
        <f>SUM(F37:F38)</f>
        <v>0</v>
      </c>
      <c r="G39" s="66">
        <f>SUM(G37:G38)</f>
        <v>0</v>
      </c>
      <c r="H39" s="66">
        <f>SUM(H37:H38)</f>
        <v>0</v>
      </c>
      <c r="I39" s="66">
        <f>SUM(I37:I38)</f>
        <v>0</v>
      </c>
      <c r="J39" s="64" t="str">
        <f t="shared" ref="J39" si="6">IF(CelkemObjekty=0,"",F39/CelkemObjekty*100)</f>
        <v/>
      </c>
      <c r="M39" s="49"/>
    </row>
    <row r="40" spans="2:13" ht="20.25" customHeight="1" x14ac:dyDescent="0.2"/>
    <row r="41" spans="2:13" ht="15.75" customHeight="1" x14ac:dyDescent="0.25">
      <c r="B41" s="71" t="s">
        <v>50</v>
      </c>
      <c r="C41" s="43"/>
      <c r="D41" s="43"/>
      <c r="E41" s="43"/>
      <c r="F41" s="43"/>
      <c r="G41" s="43"/>
      <c r="H41" s="43"/>
      <c r="I41" s="43"/>
      <c r="J41" s="43"/>
      <c r="K41" s="43"/>
      <c r="L41" s="44"/>
    </row>
    <row r="42" spans="2:13" x14ac:dyDescent="0.2"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61" spans="2:10" s="70" customFormat="1" ht="12" x14ac:dyDescent="0.2">
      <c r="B61" s="75" t="s">
        <v>27</v>
      </c>
      <c r="C61" s="75"/>
      <c r="D61" s="75"/>
      <c r="E61" s="75"/>
      <c r="F61" s="75"/>
      <c r="G61" s="75"/>
      <c r="H61" s="75"/>
      <c r="I61" s="75"/>
      <c r="J61" s="75"/>
    </row>
    <row r="62" spans="2:10" s="70" customFormat="1" ht="51" customHeight="1" x14ac:dyDescent="0.2">
      <c r="B62" s="74" t="s">
        <v>28</v>
      </c>
      <c r="C62" s="74"/>
      <c r="D62" s="74"/>
      <c r="E62" s="74"/>
      <c r="F62" s="74"/>
      <c r="G62" s="74"/>
      <c r="H62" s="74"/>
      <c r="I62" s="74"/>
      <c r="J62" s="74"/>
    </row>
    <row r="63" spans="2:10" s="70" customFormat="1" ht="64.5" customHeight="1" x14ac:dyDescent="0.2">
      <c r="B63" s="74" t="s">
        <v>29</v>
      </c>
      <c r="C63" s="74"/>
      <c r="D63" s="74"/>
      <c r="E63" s="74"/>
      <c r="F63" s="74"/>
      <c r="G63" s="74"/>
      <c r="H63" s="74"/>
      <c r="I63" s="74"/>
      <c r="J63" s="74"/>
    </row>
    <row r="64" spans="2:10" s="70" customFormat="1" ht="54" customHeight="1" x14ac:dyDescent="0.2">
      <c r="B64" s="74" t="s">
        <v>30</v>
      </c>
      <c r="C64" s="74"/>
      <c r="D64" s="74"/>
      <c r="E64" s="74"/>
      <c r="F64" s="74"/>
      <c r="G64" s="74"/>
      <c r="H64" s="74"/>
      <c r="I64" s="74"/>
      <c r="J64" s="74"/>
    </row>
    <row r="65" spans="2:10" s="70" customFormat="1" ht="15.75" customHeight="1" x14ac:dyDescent="0.2">
      <c r="B65" s="74" t="s">
        <v>31</v>
      </c>
      <c r="C65" s="74"/>
      <c r="D65" s="74"/>
      <c r="E65" s="74"/>
      <c r="F65" s="74"/>
      <c r="G65" s="74"/>
      <c r="H65" s="74"/>
      <c r="I65" s="74"/>
      <c r="J65" s="74"/>
    </row>
    <row r="66" spans="2:10" s="70" customFormat="1" ht="15" customHeight="1" x14ac:dyDescent="0.2">
      <c r="B66" s="74" t="s">
        <v>32</v>
      </c>
      <c r="C66" s="74"/>
      <c r="D66" s="74"/>
      <c r="E66" s="74"/>
      <c r="F66" s="74"/>
      <c r="G66" s="74"/>
      <c r="H66" s="74"/>
      <c r="I66" s="74"/>
      <c r="J66" s="74"/>
    </row>
    <row r="67" spans="2:10" s="70" customFormat="1" ht="15.75" customHeight="1" x14ac:dyDescent="0.2">
      <c r="B67" s="74" t="s">
        <v>33</v>
      </c>
      <c r="C67" s="74"/>
      <c r="D67" s="74"/>
      <c r="E67" s="74"/>
      <c r="F67" s="74"/>
      <c r="G67" s="74"/>
      <c r="H67" s="74"/>
      <c r="I67" s="74"/>
      <c r="J67" s="74"/>
    </row>
    <row r="68" spans="2:10" s="70" customFormat="1" ht="15.75" customHeight="1" x14ac:dyDescent="0.2">
      <c r="B68" s="74" t="s">
        <v>34</v>
      </c>
      <c r="C68" s="74"/>
      <c r="D68" s="74"/>
      <c r="E68" s="74"/>
      <c r="F68" s="74"/>
      <c r="G68" s="74"/>
      <c r="H68" s="74"/>
      <c r="I68" s="74"/>
      <c r="J68" s="74"/>
    </row>
    <row r="69" spans="2:10" s="70" customFormat="1" ht="15.75" customHeight="1" x14ac:dyDescent="0.2">
      <c r="B69" s="74" t="s">
        <v>35</v>
      </c>
      <c r="C69" s="74"/>
      <c r="D69" s="74"/>
      <c r="E69" s="74"/>
      <c r="F69" s="74"/>
      <c r="G69" s="74"/>
      <c r="H69" s="74"/>
      <c r="I69" s="74"/>
      <c r="J69" s="74"/>
    </row>
    <row r="70" spans="2:10" s="70" customFormat="1" ht="27.75" customHeight="1" x14ac:dyDescent="0.2">
      <c r="B70" s="74" t="s">
        <v>36</v>
      </c>
      <c r="C70" s="74"/>
      <c r="D70" s="74"/>
      <c r="E70" s="74"/>
      <c r="F70" s="74"/>
      <c r="G70" s="74"/>
      <c r="H70" s="74"/>
      <c r="I70" s="74"/>
      <c r="J70" s="74"/>
    </row>
    <row r="71" spans="2:10" s="70" customFormat="1" ht="27.75" customHeight="1" x14ac:dyDescent="0.2">
      <c r="B71" s="74" t="s">
        <v>37</v>
      </c>
      <c r="C71" s="74"/>
      <c r="D71" s="74"/>
      <c r="E71" s="74"/>
      <c r="F71" s="74"/>
      <c r="G71" s="74"/>
      <c r="H71" s="74"/>
      <c r="I71" s="74"/>
      <c r="J71" s="74"/>
    </row>
    <row r="72" spans="2:10" s="70" customFormat="1" ht="27.75" customHeight="1" x14ac:dyDescent="0.2">
      <c r="B72" s="74"/>
      <c r="C72" s="74"/>
      <c r="D72" s="74"/>
      <c r="E72" s="74"/>
      <c r="F72" s="74"/>
      <c r="G72" s="74"/>
      <c r="H72" s="74"/>
      <c r="I72" s="74"/>
      <c r="J72" s="74"/>
    </row>
    <row r="74" spans="2:10" s="70" customFormat="1" ht="12" x14ac:dyDescent="0.2">
      <c r="B74" s="75" t="s">
        <v>38</v>
      </c>
      <c r="C74" s="75"/>
      <c r="D74" s="75"/>
      <c r="E74" s="75"/>
      <c r="F74" s="75"/>
      <c r="G74" s="75"/>
      <c r="H74" s="75"/>
      <c r="I74" s="75"/>
      <c r="J74" s="75"/>
    </row>
    <row r="75" spans="2:10" s="70" customFormat="1" ht="52.5" customHeight="1" x14ac:dyDescent="0.2">
      <c r="B75" s="74" t="s">
        <v>39</v>
      </c>
      <c r="C75" s="74"/>
      <c r="D75" s="74"/>
      <c r="E75" s="74"/>
      <c r="F75" s="74"/>
      <c r="G75" s="74"/>
      <c r="H75" s="74"/>
      <c r="I75" s="74"/>
      <c r="J75" s="74"/>
    </row>
    <row r="76" spans="2:10" s="70" customFormat="1" ht="39.75" customHeight="1" x14ac:dyDescent="0.2">
      <c r="B76" s="74" t="s">
        <v>40</v>
      </c>
      <c r="C76" s="74"/>
      <c r="D76" s="74"/>
      <c r="E76" s="74"/>
      <c r="F76" s="74"/>
      <c r="G76" s="74"/>
      <c r="H76" s="74"/>
      <c r="I76" s="74"/>
      <c r="J76" s="74"/>
    </row>
    <row r="77" spans="2:10" s="70" customFormat="1" ht="27.75" customHeight="1" x14ac:dyDescent="0.2">
      <c r="B77" s="74" t="s">
        <v>41</v>
      </c>
      <c r="C77" s="74"/>
      <c r="D77" s="74"/>
      <c r="E77" s="74"/>
      <c r="F77" s="74"/>
      <c r="G77" s="74"/>
      <c r="H77" s="74"/>
      <c r="I77" s="74"/>
      <c r="J77" s="74"/>
    </row>
    <row r="78" spans="2:10" s="70" customFormat="1" ht="39.75" customHeight="1" x14ac:dyDescent="0.2">
      <c r="B78" s="74" t="s">
        <v>42</v>
      </c>
      <c r="C78" s="74"/>
      <c r="D78" s="74"/>
      <c r="E78" s="74"/>
      <c r="F78" s="74"/>
      <c r="G78" s="74"/>
      <c r="H78" s="74"/>
      <c r="I78" s="74"/>
      <c r="J78" s="74"/>
    </row>
    <row r="79" spans="2:10" s="70" customFormat="1" ht="39" customHeight="1" x14ac:dyDescent="0.2">
      <c r="B79" s="74" t="s">
        <v>43</v>
      </c>
      <c r="C79" s="74"/>
      <c r="D79" s="74"/>
      <c r="E79" s="74"/>
      <c r="F79" s="74"/>
      <c r="G79" s="74"/>
      <c r="H79" s="74"/>
      <c r="I79" s="74"/>
      <c r="J79" s="74"/>
    </row>
    <row r="80" spans="2:10" s="70" customFormat="1" ht="51.75" customHeight="1" x14ac:dyDescent="0.2">
      <c r="B80" s="74" t="s">
        <v>44</v>
      </c>
      <c r="C80" s="74"/>
      <c r="D80" s="74"/>
      <c r="E80" s="74"/>
      <c r="F80" s="74"/>
      <c r="G80" s="74"/>
      <c r="H80" s="74"/>
      <c r="I80" s="74"/>
      <c r="J80" s="74"/>
    </row>
    <row r="81" spans="2:10" s="70" customFormat="1" ht="51.75" customHeight="1" x14ac:dyDescent="0.2">
      <c r="B81" s="74" t="s">
        <v>45</v>
      </c>
      <c r="C81" s="74"/>
      <c r="D81" s="74"/>
      <c r="E81" s="74"/>
      <c r="F81" s="74"/>
      <c r="G81" s="74"/>
      <c r="H81" s="74"/>
      <c r="I81" s="74"/>
      <c r="J81" s="74"/>
    </row>
    <row r="82" spans="2:10" s="70" customFormat="1" ht="30.75" customHeight="1" x14ac:dyDescent="0.2">
      <c r="B82" s="74" t="s">
        <v>46</v>
      </c>
      <c r="C82" s="74"/>
      <c r="D82" s="74"/>
      <c r="E82" s="74"/>
      <c r="F82" s="74"/>
      <c r="G82" s="74"/>
      <c r="H82" s="74"/>
      <c r="I82" s="74"/>
      <c r="J82" s="74"/>
    </row>
    <row r="83" spans="2:10" s="70" customFormat="1" ht="19.5" customHeight="1" x14ac:dyDescent="0.2">
      <c r="B83" s="74" t="s">
        <v>47</v>
      </c>
      <c r="C83" s="74"/>
      <c r="D83" s="74"/>
      <c r="E83" s="74"/>
      <c r="F83" s="74"/>
      <c r="G83" s="74"/>
      <c r="H83" s="74"/>
      <c r="I83" s="74"/>
      <c r="J83" s="74"/>
    </row>
    <row r="84" spans="2:10" s="70" customFormat="1" ht="19.5" customHeight="1" x14ac:dyDescent="0.2"/>
  </sheetData>
  <mergeCells count="28">
    <mergeCell ref="E5:I5"/>
    <mergeCell ref="I29:J29"/>
    <mergeCell ref="I25:J25"/>
    <mergeCell ref="I26:J26"/>
    <mergeCell ref="I27:J27"/>
    <mergeCell ref="I28:J28"/>
    <mergeCell ref="B61:J61"/>
    <mergeCell ref="B62:J62"/>
    <mergeCell ref="B63:J63"/>
    <mergeCell ref="B64:J64"/>
    <mergeCell ref="B65:J65"/>
    <mergeCell ref="B66:J66"/>
    <mergeCell ref="B67:J67"/>
    <mergeCell ref="B68:J68"/>
    <mergeCell ref="B69:J69"/>
    <mergeCell ref="B70:J70"/>
    <mergeCell ref="B71:J71"/>
    <mergeCell ref="B72:J72"/>
    <mergeCell ref="B74:J74"/>
    <mergeCell ref="B75:J75"/>
    <mergeCell ref="B76:J76"/>
    <mergeCell ref="B82:J82"/>
    <mergeCell ref="B83:J83"/>
    <mergeCell ref="B77:J77"/>
    <mergeCell ref="B78:J78"/>
    <mergeCell ref="B79:J79"/>
    <mergeCell ref="B80:J80"/>
    <mergeCell ref="B81:J81"/>
  </mergeCells>
  <phoneticPr fontId="19" type="noConversion"/>
  <pageMargins left="0.39370078740157483" right="0.19685039370078741" top="0.39370078740157483" bottom="0.39370078740157483" header="0" footer="0.19685039370078741"/>
  <pageSetup paperSize="9" scale="97" fitToHeight="9999" orientation="portrait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77F76-E0F5-46D0-BF51-459C364360E0}">
  <sheetPr>
    <pageSetUpPr fitToPage="1"/>
  </sheetPr>
  <dimension ref="A1:I37"/>
  <sheetViews>
    <sheetView topLeftCell="A4" workbookViewId="0">
      <selection activeCell="I28" sqref="I28"/>
    </sheetView>
  </sheetViews>
  <sheetFormatPr defaultColWidth="12.140625" defaultRowHeight="15" customHeight="1" x14ac:dyDescent="0.25"/>
  <cols>
    <col min="1" max="1" width="9.140625" style="86" customWidth="1"/>
    <col min="2" max="2" width="12.85546875" style="86" customWidth="1"/>
    <col min="3" max="3" width="27.140625" style="86" customWidth="1"/>
    <col min="4" max="4" width="10" style="86" customWidth="1"/>
    <col min="5" max="5" width="14" style="86" customWidth="1"/>
    <col min="6" max="6" width="27.140625" style="86" customWidth="1"/>
    <col min="7" max="7" width="9.140625" style="86" customWidth="1"/>
    <col min="8" max="8" width="12.85546875" style="86" customWidth="1"/>
    <col min="9" max="9" width="27.140625" style="86" customWidth="1"/>
    <col min="10" max="16384" width="12.140625" style="86"/>
  </cols>
  <sheetData>
    <row r="1" spans="1:9" ht="54.75" customHeight="1" x14ac:dyDescent="0.25">
      <c r="A1" s="153" t="s">
        <v>111</v>
      </c>
      <c r="B1" s="152"/>
      <c r="C1" s="152"/>
      <c r="D1" s="152"/>
      <c r="E1" s="152"/>
      <c r="F1" s="152"/>
      <c r="G1" s="152"/>
      <c r="H1" s="152"/>
      <c r="I1" s="152"/>
    </row>
    <row r="2" spans="1:9" x14ac:dyDescent="0.25">
      <c r="A2" s="151" t="s">
        <v>110</v>
      </c>
      <c r="B2" s="150"/>
      <c r="C2" s="149" t="str">
        <f>'Polozky D11'!C2</f>
        <v>KARIBUNI II - PŘÍSTŘEŠEK U VÝBĚHU B</v>
      </c>
      <c r="D2" s="148"/>
      <c r="E2" s="145" t="s">
        <v>109</v>
      </c>
      <c r="F2" s="147" t="str">
        <f>'Polozky D11'!I2</f>
        <v>ZOO a zámek Zlín - Lešná, p.o.</v>
      </c>
      <c r="G2" s="146"/>
      <c r="H2" s="145" t="s">
        <v>102</v>
      </c>
      <c r="I2" s="144" t="s">
        <v>108</v>
      </c>
    </row>
    <row r="3" spans="1:9" ht="19.5" customHeight="1" x14ac:dyDescent="0.25">
      <c r="A3" s="136"/>
      <c r="B3" s="87"/>
      <c r="C3" s="141"/>
      <c r="D3" s="141"/>
      <c r="E3" s="87"/>
      <c r="F3" s="140"/>
      <c r="G3" s="140"/>
      <c r="H3" s="87"/>
      <c r="I3" s="135"/>
    </row>
    <row r="4" spans="1:9" x14ac:dyDescent="0.25">
      <c r="A4" s="134" t="s">
        <v>107</v>
      </c>
      <c r="B4" s="87"/>
      <c r="C4" s="143" t="s">
        <v>106</v>
      </c>
      <c r="D4" s="141"/>
      <c r="E4" s="88" t="s">
        <v>105</v>
      </c>
      <c r="F4" s="142" t="str">
        <f>'Polozky D11'!I4</f>
        <v>PROST Zlín - projekční kancelář</v>
      </c>
      <c r="G4" s="140"/>
      <c r="H4" s="88" t="s">
        <v>102</v>
      </c>
      <c r="I4" s="135" t="s">
        <v>53</v>
      </c>
    </row>
    <row r="5" spans="1:9" ht="15" customHeight="1" x14ac:dyDescent="0.25">
      <c r="A5" s="136"/>
      <c r="B5" s="87"/>
      <c r="C5" s="141"/>
      <c r="D5" s="141"/>
      <c r="E5" s="87"/>
      <c r="F5" s="140"/>
      <c r="G5" s="140"/>
      <c r="H5" s="87"/>
      <c r="I5" s="135"/>
    </row>
    <row r="6" spans="1:9" x14ac:dyDescent="0.25">
      <c r="A6" s="134" t="s">
        <v>104</v>
      </c>
      <c r="B6" s="87"/>
      <c r="C6" s="139" t="str">
        <f>'Polozky D11'!C6</f>
        <v>parc.č. 888/1, areál ZOO Zlín - Lešná</v>
      </c>
      <c r="D6" s="138"/>
      <c r="E6" s="88" t="s">
        <v>103</v>
      </c>
      <c r="F6" s="88" t="str">
        <f>'Polozky D11'!I6</f>
        <v>bude určen výběrovým řízením</v>
      </c>
      <c r="G6" s="87"/>
      <c r="H6" s="88" t="s">
        <v>102</v>
      </c>
      <c r="I6" s="135" t="s">
        <v>53</v>
      </c>
    </row>
    <row r="7" spans="1:9" ht="15" customHeight="1" x14ac:dyDescent="0.25">
      <c r="A7" s="136"/>
      <c r="B7" s="87"/>
      <c r="C7" s="138"/>
      <c r="D7" s="138"/>
      <c r="E7" s="87"/>
      <c r="F7" s="87"/>
      <c r="G7" s="87"/>
      <c r="H7" s="87"/>
      <c r="I7" s="135"/>
    </row>
    <row r="8" spans="1:9" x14ac:dyDescent="0.25">
      <c r="A8" s="134" t="s">
        <v>101</v>
      </c>
      <c r="B8" s="87"/>
      <c r="C8" s="88" t="str">
        <f>'Polozky D11'!G4</f>
        <v>10.02.2026</v>
      </c>
      <c r="D8" s="87"/>
      <c r="E8" s="88" t="s">
        <v>100</v>
      </c>
      <c r="F8" s="88" t="str">
        <f>'Polozky D11'!G6</f>
        <v xml:space="preserve"> </v>
      </c>
      <c r="G8" s="87"/>
      <c r="H8" s="87" t="s">
        <v>99</v>
      </c>
      <c r="I8" s="137">
        <v>97</v>
      </c>
    </row>
    <row r="9" spans="1:9" x14ac:dyDescent="0.25">
      <c r="A9" s="136"/>
      <c r="B9" s="87"/>
      <c r="C9" s="87"/>
      <c r="D9" s="87"/>
      <c r="E9" s="87"/>
      <c r="F9" s="87"/>
      <c r="G9" s="87"/>
      <c r="H9" s="87"/>
      <c r="I9" s="135"/>
    </row>
    <row r="10" spans="1:9" x14ac:dyDescent="0.25">
      <c r="A10" s="134" t="s">
        <v>98</v>
      </c>
      <c r="B10" s="87"/>
      <c r="C10" s="88" t="str">
        <f>'Polozky D11'!C8</f>
        <v>815998</v>
      </c>
      <c r="D10" s="87"/>
      <c r="E10" s="88" t="s">
        <v>97</v>
      </c>
      <c r="F10" s="88" t="str">
        <f>'Polozky D11'!I8</f>
        <v>Tomáš Sýkora</v>
      </c>
      <c r="G10" s="87"/>
      <c r="H10" s="87" t="s">
        <v>96</v>
      </c>
      <c r="I10" s="133" t="str">
        <f>'Polozky D11'!G8</f>
        <v>19.11.2025</v>
      </c>
    </row>
    <row r="11" spans="1:9" x14ac:dyDescent="0.25">
      <c r="A11" s="132"/>
      <c r="B11" s="131"/>
      <c r="C11" s="131"/>
      <c r="D11" s="131"/>
      <c r="E11" s="131"/>
      <c r="F11" s="131"/>
      <c r="G11" s="131"/>
      <c r="H11" s="131"/>
      <c r="I11" s="130"/>
    </row>
    <row r="12" spans="1:9" ht="23.25" x14ac:dyDescent="0.25">
      <c r="A12" s="129" t="s">
        <v>95</v>
      </c>
      <c r="B12" s="129"/>
      <c r="C12" s="129"/>
      <c r="D12" s="129"/>
      <c r="E12" s="129"/>
      <c r="F12" s="129"/>
      <c r="G12" s="129"/>
      <c r="H12" s="129"/>
      <c r="I12" s="129"/>
    </row>
    <row r="13" spans="1:9" ht="26.25" customHeight="1" x14ac:dyDescent="0.25">
      <c r="A13" s="128" t="s">
        <v>94</v>
      </c>
      <c r="B13" s="126" t="s">
        <v>93</v>
      </c>
      <c r="C13" s="125"/>
      <c r="D13" s="127" t="s">
        <v>92</v>
      </c>
      <c r="E13" s="126" t="s">
        <v>91</v>
      </c>
      <c r="F13" s="125"/>
      <c r="G13" s="127" t="s">
        <v>90</v>
      </c>
      <c r="H13" s="126" t="s">
        <v>89</v>
      </c>
      <c r="I13" s="125"/>
    </row>
    <row r="14" spans="1:9" ht="15.75" x14ac:dyDescent="0.25">
      <c r="A14" s="124" t="s">
        <v>88</v>
      </c>
      <c r="B14" s="122" t="s">
        <v>78</v>
      </c>
      <c r="C14" s="105">
        <f>SUM('Polozky D11'!AB12:AB596)</f>
        <v>0</v>
      </c>
      <c r="D14" s="121" t="s">
        <v>87</v>
      </c>
      <c r="E14" s="120"/>
      <c r="F14" s="105">
        <f>[2]VORN!I15</f>
        <v>0</v>
      </c>
      <c r="G14" s="121" t="s">
        <v>86</v>
      </c>
      <c r="H14" s="120"/>
      <c r="I14" s="119">
        <f>[2]VORN!I21</f>
        <v>0</v>
      </c>
    </row>
    <row r="15" spans="1:9" ht="15.75" x14ac:dyDescent="0.25">
      <c r="A15" s="123" t="s">
        <v>53</v>
      </c>
      <c r="B15" s="122" t="s">
        <v>76</v>
      </c>
      <c r="C15" s="105">
        <f>SUM('Polozky D11'!AC12:AC596)</f>
        <v>0</v>
      </c>
      <c r="D15" s="121" t="s">
        <v>85</v>
      </c>
      <c r="E15" s="120"/>
      <c r="F15" s="105">
        <f>[2]VORN!I16</f>
        <v>0</v>
      </c>
      <c r="G15" s="121" t="s">
        <v>84</v>
      </c>
      <c r="H15" s="120"/>
      <c r="I15" s="119">
        <f>[2]VORN!I22</f>
        <v>0</v>
      </c>
    </row>
    <row r="16" spans="1:9" ht="15.75" x14ac:dyDescent="0.25">
      <c r="A16" s="124" t="s">
        <v>83</v>
      </c>
      <c r="B16" s="122" t="s">
        <v>78</v>
      </c>
      <c r="C16" s="105">
        <f>SUM('Polozky D11'!AD12:AD596)</f>
        <v>0</v>
      </c>
      <c r="D16" s="121" t="s">
        <v>82</v>
      </c>
      <c r="E16" s="120"/>
      <c r="F16" s="105">
        <f>[2]VORN!I17</f>
        <v>0</v>
      </c>
      <c r="G16" s="121" t="s">
        <v>81</v>
      </c>
      <c r="H16" s="120"/>
      <c r="I16" s="119">
        <f>[2]VORN!I23</f>
        <v>0</v>
      </c>
    </row>
    <row r="17" spans="1:9" ht="15.75" x14ac:dyDescent="0.25">
      <c r="A17" s="123" t="s">
        <v>53</v>
      </c>
      <c r="B17" s="122" t="s">
        <v>76</v>
      </c>
      <c r="C17" s="105">
        <f>SUM('Polozky D11'!AE12:AE596)</f>
        <v>0</v>
      </c>
      <c r="D17" s="121" t="s">
        <v>53</v>
      </c>
      <c r="E17" s="120"/>
      <c r="F17" s="119" t="s">
        <v>53</v>
      </c>
      <c r="G17" s="121" t="s">
        <v>80</v>
      </c>
      <c r="H17" s="120"/>
      <c r="I17" s="119">
        <f>[2]VORN!I24</f>
        <v>0</v>
      </c>
    </row>
    <row r="18" spans="1:9" ht="15.75" x14ac:dyDescent="0.25">
      <c r="A18" s="124" t="s">
        <v>79</v>
      </c>
      <c r="B18" s="122" t="s">
        <v>78</v>
      </c>
      <c r="C18" s="105">
        <f>SUM('Polozky D11'!AF12:AF596)</f>
        <v>0</v>
      </c>
      <c r="D18" s="121" t="s">
        <v>53</v>
      </c>
      <c r="E18" s="120"/>
      <c r="F18" s="119" t="s">
        <v>53</v>
      </c>
      <c r="G18" s="121" t="s">
        <v>77</v>
      </c>
      <c r="H18" s="120"/>
      <c r="I18" s="119">
        <f>[2]VORN!I25</f>
        <v>0</v>
      </c>
    </row>
    <row r="19" spans="1:9" ht="15.75" x14ac:dyDescent="0.25">
      <c r="A19" s="123" t="s">
        <v>53</v>
      </c>
      <c r="B19" s="122" t="s">
        <v>76</v>
      </c>
      <c r="C19" s="105">
        <f>SUM('Polozky D11'!AG12:AG596)</f>
        <v>0</v>
      </c>
      <c r="D19" s="121" t="s">
        <v>53</v>
      </c>
      <c r="E19" s="120"/>
      <c r="F19" s="119" t="s">
        <v>53</v>
      </c>
      <c r="G19" s="121" t="s">
        <v>75</v>
      </c>
      <c r="H19" s="120"/>
      <c r="I19" s="119">
        <f>[2]VORN!I26</f>
        <v>0</v>
      </c>
    </row>
    <row r="20" spans="1:9" ht="15.75" x14ac:dyDescent="0.25">
      <c r="A20" s="107" t="s">
        <v>74</v>
      </c>
      <c r="B20" s="106"/>
      <c r="C20" s="105">
        <f>SUM('Polozky D11'!AH12:AH596)</f>
        <v>0</v>
      </c>
      <c r="D20" s="121" t="s">
        <v>53</v>
      </c>
      <c r="E20" s="120"/>
      <c r="F20" s="119" t="s">
        <v>53</v>
      </c>
      <c r="G20" s="121" t="s">
        <v>53</v>
      </c>
      <c r="H20" s="120"/>
      <c r="I20" s="119" t="s">
        <v>53</v>
      </c>
    </row>
    <row r="21" spans="1:9" ht="15.75" x14ac:dyDescent="0.25">
      <c r="A21" s="118" t="s">
        <v>73</v>
      </c>
      <c r="B21" s="117"/>
      <c r="C21" s="116">
        <f>SUM('Polozky D11'!Z12:Z596)</f>
        <v>0</v>
      </c>
      <c r="D21" s="94" t="s">
        <v>53</v>
      </c>
      <c r="E21" s="115"/>
      <c r="F21" s="114" t="s">
        <v>53</v>
      </c>
      <c r="G21" s="94" t="s">
        <v>53</v>
      </c>
      <c r="H21" s="115"/>
      <c r="I21" s="114" t="s">
        <v>53</v>
      </c>
    </row>
    <row r="22" spans="1:9" ht="16.5" customHeight="1" x14ac:dyDescent="0.25">
      <c r="A22" s="113" t="s">
        <v>72</v>
      </c>
      <c r="B22" s="111"/>
      <c r="C22" s="110">
        <f>ROUND(SUM(C14:C21),2)</f>
        <v>0</v>
      </c>
      <c r="D22" s="112" t="s">
        <v>71</v>
      </c>
      <c r="E22" s="111"/>
      <c r="F22" s="110">
        <f>SUM(F14:F21)</f>
        <v>0</v>
      </c>
      <c r="G22" s="112" t="s">
        <v>70</v>
      </c>
      <c r="H22" s="111"/>
      <c r="I22" s="110">
        <f>SUM(I14:I21)</f>
        <v>0</v>
      </c>
    </row>
    <row r="23" spans="1:9" ht="16.5" thickBot="1" x14ac:dyDescent="0.3">
      <c r="D23" s="107" t="s">
        <v>69</v>
      </c>
      <c r="E23" s="106"/>
      <c r="F23" s="109">
        <v>0</v>
      </c>
      <c r="G23" s="108" t="s">
        <v>68</v>
      </c>
      <c r="H23" s="106"/>
      <c r="I23" s="105">
        <v>0</v>
      </c>
    </row>
    <row r="24" spans="1:9" ht="15.75" x14ac:dyDescent="0.25">
      <c r="G24" s="107" t="s">
        <v>67</v>
      </c>
      <c r="H24" s="106"/>
      <c r="I24" s="105">
        <f>vorn_sum</f>
        <v>137460</v>
      </c>
    </row>
    <row r="25" spans="1:9" ht="15.75" x14ac:dyDescent="0.25">
      <c r="G25" s="107" t="s">
        <v>66</v>
      </c>
      <c r="H25" s="106"/>
      <c r="I25" s="105">
        <v>0</v>
      </c>
    </row>
    <row r="27" spans="1:9" ht="15.75" x14ac:dyDescent="0.25">
      <c r="A27" s="104" t="s">
        <v>65</v>
      </c>
      <c r="B27" s="103"/>
      <c r="C27" s="102">
        <f>ROUND(SUM('Polozky D11'!AJ12:AJ596),2)</f>
        <v>0</v>
      </c>
    </row>
    <row r="28" spans="1:9" ht="15.75" x14ac:dyDescent="0.25">
      <c r="A28" s="101" t="s">
        <v>64</v>
      </c>
      <c r="B28" s="100"/>
      <c r="C28" s="99">
        <f>ROUND(SUM('Polozky D11'!AK12:AK596),2)</f>
        <v>0</v>
      </c>
      <c r="D28" s="103" t="s">
        <v>63</v>
      </c>
      <c r="E28" s="103"/>
      <c r="F28" s="102">
        <f>ROUND(C28*(12/100),2)</f>
        <v>0</v>
      </c>
      <c r="G28" s="103" t="s">
        <v>62</v>
      </c>
      <c r="H28" s="103"/>
      <c r="I28" s="102">
        <f>ROUND(SUM(C27:C29),2)</f>
        <v>0</v>
      </c>
    </row>
    <row r="29" spans="1:9" ht="15.75" x14ac:dyDescent="0.25">
      <c r="A29" s="101" t="s">
        <v>61</v>
      </c>
      <c r="B29" s="100"/>
      <c r="C29" s="99">
        <f>ROUND(SUM('Polozky D11'!AL12:AL596),2)</f>
        <v>0</v>
      </c>
      <c r="D29" s="100" t="s">
        <v>60</v>
      </c>
      <c r="E29" s="100"/>
      <c r="F29" s="99">
        <f>ROUND(C29*(21/100),2)</f>
        <v>0</v>
      </c>
      <c r="G29" s="100" t="s">
        <v>59</v>
      </c>
      <c r="H29" s="100"/>
      <c r="I29" s="99">
        <f>ROUND(SUM(F28:F29)+I28,2)</f>
        <v>0</v>
      </c>
    </row>
    <row r="31" spans="1:9" x14ac:dyDescent="0.25">
      <c r="A31" s="98" t="s">
        <v>58</v>
      </c>
      <c r="B31" s="97"/>
      <c r="C31" s="96"/>
      <c r="D31" s="97" t="s">
        <v>57</v>
      </c>
      <c r="E31" s="97"/>
      <c r="F31" s="96"/>
      <c r="G31" s="97" t="s">
        <v>56</v>
      </c>
      <c r="H31" s="97"/>
      <c r="I31" s="96"/>
    </row>
    <row r="32" spans="1:9" x14ac:dyDescent="0.25">
      <c r="A32" s="95" t="s">
        <v>53</v>
      </c>
      <c r="B32" s="94"/>
      <c r="C32" s="93"/>
      <c r="D32" s="94" t="s">
        <v>53</v>
      </c>
      <c r="E32" s="94"/>
      <c r="F32" s="93"/>
      <c r="G32" s="94" t="s">
        <v>53</v>
      </c>
      <c r="H32" s="94"/>
      <c r="I32" s="93"/>
    </row>
    <row r="33" spans="1:9" x14ac:dyDescent="0.25">
      <c r="A33" s="95" t="s">
        <v>53</v>
      </c>
      <c r="B33" s="94"/>
      <c r="C33" s="93"/>
      <c r="D33" s="94" t="s">
        <v>53</v>
      </c>
      <c r="E33" s="94"/>
      <c r="F33" s="93"/>
      <c r="G33" s="94" t="s">
        <v>53</v>
      </c>
      <c r="H33" s="94"/>
      <c r="I33" s="93"/>
    </row>
    <row r="34" spans="1:9" x14ac:dyDescent="0.25">
      <c r="A34" s="95" t="s">
        <v>53</v>
      </c>
      <c r="B34" s="94"/>
      <c r="C34" s="93"/>
      <c r="D34" s="94" t="s">
        <v>53</v>
      </c>
      <c r="E34" s="94"/>
      <c r="F34" s="93"/>
      <c r="G34" s="94" t="s">
        <v>53</v>
      </c>
      <c r="H34" s="94"/>
      <c r="I34" s="93"/>
    </row>
    <row r="35" spans="1:9" ht="15.75" thickBot="1" x14ac:dyDescent="0.3">
      <c r="A35" s="92" t="s">
        <v>55</v>
      </c>
      <c r="B35" s="91"/>
      <c r="C35" s="90"/>
      <c r="D35" s="91" t="s">
        <v>55</v>
      </c>
      <c r="E35" s="91"/>
      <c r="F35" s="90"/>
      <c r="G35" s="91" t="s">
        <v>55</v>
      </c>
      <c r="H35" s="91"/>
      <c r="I35" s="90"/>
    </row>
    <row r="36" spans="1:9" x14ac:dyDescent="0.25">
      <c r="A36" s="89" t="s">
        <v>54</v>
      </c>
    </row>
    <row r="37" spans="1:9" ht="12.75" customHeight="1" x14ac:dyDescent="0.25">
      <c r="A37" s="88" t="s">
        <v>53</v>
      </c>
      <c r="B37" s="87"/>
      <c r="C37" s="87"/>
      <c r="D37" s="87"/>
      <c r="E37" s="87"/>
      <c r="F37" s="87"/>
      <c r="G37" s="87"/>
      <c r="H37" s="87"/>
      <c r="I37" s="87"/>
    </row>
  </sheetData>
  <mergeCells count="83">
    <mergeCell ref="D35:F35"/>
    <mergeCell ref="A31:C31"/>
    <mergeCell ref="A32:C32"/>
    <mergeCell ref="A33:C33"/>
    <mergeCell ref="A34:C34"/>
    <mergeCell ref="A35:C35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A28:B28"/>
    <mergeCell ref="A29:B29"/>
    <mergeCell ref="D28:E28"/>
    <mergeCell ref="D29:E29"/>
    <mergeCell ref="G28:H28"/>
    <mergeCell ref="G29:H29"/>
    <mergeCell ref="G21:H21"/>
    <mergeCell ref="G22:H22"/>
    <mergeCell ref="G23:H23"/>
    <mergeCell ref="G24:H24"/>
    <mergeCell ref="G25:H25"/>
    <mergeCell ref="A27:B27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C10:D11"/>
    <mergeCell ref="E2:E3"/>
    <mergeCell ref="E4:E5"/>
    <mergeCell ref="E6:E7"/>
    <mergeCell ref="E8:E9"/>
    <mergeCell ref="E10:E11"/>
    <mergeCell ref="I4:I5"/>
    <mergeCell ref="I6:I7"/>
    <mergeCell ref="I8:I9"/>
    <mergeCell ref="C2:D3"/>
    <mergeCell ref="C4:D5"/>
    <mergeCell ref="C6:D7"/>
    <mergeCell ref="C8:D9"/>
    <mergeCell ref="H2:H3"/>
    <mergeCell ref="H4:H5"/>
    <mergeCell ref="H6:H7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</mergeCells>
  <pageMargins left="0.393999993801117" right="0.393999993801117" top="0.59100002050399802" bottom="0.59100002050399802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3C5D-4799-433C-A210-4DD5BADF84B3}">
  <sheetPr>
    <pageSetUpPr fitToPage="1"/>
  </sheetPr>
  <dimension ref="A1:BZ301"/>
  <sheetViews>
    <sheetView zoomScale="120" zoomScaleNormal="120" workbookViewId="0">
      <pane ySplit="11" topLeftCell="A12" activePane="bottomLeft" state="frozen"/>
      <selection pane="bottomLeft" activeCell="G12" sqref="G12"/>
    </sheetView>
  </sheetViews>
  <sheetFormatPr defaultColWidth="12.140625" defaultRowHeight="15" customHeight="1" x14ac:dyDescent="0.25"/>
  <cols>
    <col min="1" max="1" width="4" style="86" customWidth="1"/>
    <col min="2" max="2" width="17.85546875" style="86" customWidth="1"/>
    <col min="3" max="3" width="42.85546875" style="86" customWidth="1"/>
    <col min="4" max="4" width="35.7109375" style="86" customWidth="1"/>
    <col min="5" max="5" width="6.7109375" style="86" customWidth="1"/>
    <col min="6" max="6" width="12.85546875" style="86" customWidth="1"/>
    <col min="7" max="7" width="12" style="86" customWidth="1"/>
    <col min="8" max="10" width="15.7109375" style="86" customWidth="1"/>
    <col min="11" max="12" width="11.7109375" style="86" customWidth="1"/>
    <col min="13" max="13" width="13.42578125" style="86" customWidth="1"/>
    <col min="14" max="75" width="12.140625" style="86"/>
    <col min="76" max="76" width="78.5703125" style="86" hidden="1" customWidth="1"/>
    <col min="77" max="16384" width="12.140625" style="86"/>
  </cols>
  <sheetData>
    <row r="1" spans="1:76" ht="54.75" customHeight="1" x14ac:dyDescent="0.25">
      <c r="A1" s="152" t="s">
        <v>694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AS1" s="169">
        <f>SUM(AJ1:AJ2)</f>
        <v>0</v>
      </c>
      <c r="AT1" s="169">
        <f>SUM(AK1:AK2)</f>
        <v>0</v>
      </c>
      <c r="AU1" s="169">
        <f>SUM(AL1:AL2)</f>
        <v>0</v>
      </c>
    </row>
    <row r="2" spans="1:76" x14ac:dyDescent="0.25">
      <c r="A2" s="151" t="s">
        <v>110</v>
      </c>
      <c r="B2" s="150"/>
      <c r="C2" s="209" t="s">
        <v>51</v>
      </c>
      <c r="D2" s="208"/>
      <c r="E2" s="150" t="s">
        <v>693</v>
      </c>
      <c r="F2" s="150"/>
      <c r="G2" s="150" t="s">
        <v>1</v>
      </c>
      <c r="H2" s="145" t="s">
        <v>109</v>
      </c>
      <c r="I2" s="149" t="s">
        <v>21</v>
      </c>
      <c r="J2" s="148"/>
      <c r="K2" s="148"/>
      <c r="L2" s="148"/>
      <c r="M2" s="207"/>
    </row>
    <row r="3" spans="1:76" x14ac:dyDescent="0.25">
      <c r="A3" s="136"/>
      <c r="B3" s="87"/>
      <c r="C3" s="206"/>
      <c r="D3" s="206"/>
      <c r="E3" s="87"/>
      <c r="F3" s="87"/>
      <c r="G3" s="87"/>
      <c r="H3" s="87"/>
      <c r="I3" s="141"/>
      <c r="J3" s="141"/>
      <c r="K3" s="141"/>
      <c r="L3" s="141"/>
      <c r="M3" s="205"/>
    </row>
    <row r="4" spans="1:76" ht="15" customHeight="1" x14ac:dyDescent="0.25">
      <c r="A4" s="134" t="s">
        <v>107</v>
      </c>
      <c r="B4" s="87"/>
      <c r="C4" s="143" t="s">
        <v>106</v>
      </c>
      <c r="D4" s="141"/>
      <c r="E4" s="87" t="s">
        <v>101</v>
      </c>
      <c r="F4" s="87"/>
      <c r="G4" s="87" t="s">
        <v>692</v>
      </c>
      <c r="H4" s="88" t="s">
        <v>105</v>
      </c>
      <c r="I4" s="142" t="s">
        <v>691</v>
      </c>
      <c r="J4" s="140"/>
      <c r="K4" s="140"/>
      <c r="L4" s="140"/>
      <c r="M4" s="204"/>
    </row>
    <row r="5" spans="1:76" x14ac:dyDescent="0.25">
      <c r="A5" s="136"/>
      <c r="B5" s="87"/>
      <c r="C5" s="141"/>
      <c r="D5" s="141"/>
      <c r="E5" s="87"/>
      <c r="F5" s="87"/>
      <c r="G5" s="87"/>
      <c r="H5" s="87"/>
      <c r="I5" s="140"/>
      <c r="J5" s="140"/>
      <c r="K5" s="140"/>
      <c r="L5" s="140"/>
      <c r="M5" s="204"/>
    </row>
    <row r="6" spans="1:76" x14ac:dyDescent="0.25">
      <c r="A6" s="134" t="s">
        <v>104</v>
      </c>
      <c r="B6" s="87"/>
      <c r="C6" s="139" t="s">
        <v>690</v>
      </c>
      <c r="D6" s="138"/>
      <c r="E6" s="87" t="s">
        <v>100</v>
      </c>
      <c r="F6" s="87"/>
      <c r="G6" s="87" t="s">
        <v>1</v>
      </c>
      <c r="H6" s="88" t="s">
        <v>103</v>
      </c>
      <c r="I6" s="180" t="s">
        <v>689</v>
      </c>
      <c r="J6" s="87"/>
      <c r="K6" s="87"/>
      <c r="L6" s="87"/>
      <c r="M6" s="135"/>
    </row>
    <row r="7" spans="1:76" x14ac:dyDescent="0.25">
      <c r="A7" s="136"/>
      <c r="B7" s="87"/>
      <c r="C7" s="138"/>
      <c r="D7" s="138"/>
      <c r="E7" s="87"/>
      <c r="F7" s="87"/>
      <c r="G7" s="87"/>
      <c r="H7" s="87"/>
      <c r="I7" s="87"/>
      <c r="J7" s="87"/>
      <c r="K7" s="87"/>
      <c r="L7" s="87"/>
      <c r="M7" s="135"/>
    </row>
    <row r="8" spans="1:76" x14ac:dyDescent="0.25">
      <c r="A8" s="134" t="s">
        <v>98</v>
      </c>
      <c r="B8" s="87"/>
      <c r="C8" s="88" t="s">
        <v>688</v>
      </c>
      <c r="D8" s="87"/>
      <c r="E8" s="87" t="s">
        <v>687</v>
      </c>
      <c r="F8" s="87"/>
      <c r="G8" s="87" t="s">
        <v>686</v>
      </c>
      <c r="H8" s="88" t="s">
        <v>97</v>
      </c>
      <c r="I8" s="88" t="s">
        <v>685</v>
      </c>
      <c r="J8" s="87"/>
      <c r="K8" s="87"/>
      <c r="L8" s="87"/>
      <c r="M8" s="135"/>
    </row>
    <row r="9" spans="1:76" ht="15.75" thickBot="1" x14ac:dyDescent="0.3">
      <c r="A9" s="136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35"/>
    </row>
    <row r="10" spans="1:76" x14ac:dyDescent="0.25">
      <c r="A10" s="203" t="s">
        <v>684</v>
      </c>
      <c r="B10" s="200" t="s">
        <v>683</v>
      </c>
      <c r="C10" s="202" t="s">
        <v>682</v>
      </c>
      <c r="D10" s="201"/>
      <c r="E10" s="200" t="s">
        <v>681</v>
      </c>
      <c r="F10" s="199" t="s">
        <v>680</v>
      </c>
      <c r="G10" s="198" t="s">
        <v>679</v>
      </c>
      <c r="H10" s="197" t="s">
        <v>678</v>
      </c>
      <c r="I10" s="195"/>
      <c r="J10" s="196"/>
      <c r="K10" s="195" t="s">
        <v>677</v>
      </c>
      <c r="L10" s="195"/>
      <c r="M10" s="194" t="s">
        <v>676</v>
      </c>
      <c r="BK10" s="163" t="s">
        <v>675</v>
      </c>
      <c r="BL10" s="193" t="s">
        <v>674</v>
      </c>
      <c r="BW10" s="193" t="s">
        <v>673</v>
      </c>
    </row>
    <row r="11" spans="1:76" ht="15.75" thickBot="1" x14ac:dyDescent="0.3">
      <c r="A11" s="192" t="s">
        <v>1</v>
      </c>
      <c r="B11" s="189" t="s">
        <v>1</v>
      </c>
      <c r="C11" s="191" t="s">
        <v>672</v>
      </c>
      <c r="D11" s="190"/>
      <c r="E11" s="189" t="s">
        <v>1</v>
      </c>
      <c r="F11" s="189" t="s">
        <v>1</v>
      </c>
      <c r="G11" s="186" t="s">
        <v>671</v>
      </c>
      <c r="H11" s="185" t="s">
        <v>670</v>
      </c>
      <c r="I11" s="187" t="s">
        <v>76</v>
      </c>
      <c r="J11" s="188" t="s">
        <v>668</v>
      </c>
      <c r="K11" s="187" t="s">
        <v>669</v>
      </c>
      <c r="L11" s="186" t="s">
        <v>668</v>
      </c>
      <c r="M11" s="185" t="s">
        <v>667</v>
      </c>
      <c r="Z11" s="163" t="s">
        <v>666</v>
      </c>
      <c r="AA11" s="163" t="s">
        <v>665</v>
      </c>
      <c r="AB11" s="163" t="s">
        <v>664</v>
      </c>
      <c r="AC11" s="163" t="s">
        <v>663</v>
      </c>
      <c r="AD11" s="163" t="s">
        <v>662</v>
      </c>
      <c r="AE11" s="163" t="s">
        <v>661</v>
      </c>
      <c r="AF11" s="163" t="s">
        <v>660</v>
      </c>
      <c r="AG11" s="163" t="s">
        <v>659</v>
      </c>
      <c r="AH11" s="163" t="s">
        <v>658</v>
      </c>
      <c r="BH11" s="163" t="s">
        <v>657</v>
      </c>
      <c r="BI11" s="163" t="s">
        <v>656</v>
      </c>
      <c r="BJ11" s="163" t="s">
        <v>655</v>
      </c>
    </row>
    <row r="12" spans="1:76" x14ac:dyDescent="0.25">
      <c r="A12" s="175" t="s">
        <v>53</v>
      </c>
      <c r="B12" s="174" t="s">
        <v>604</v>
      </c>
      <c r="C12" s="173" t="s">
        <v>654</v>
      </c>
      <c r="D12" s="172"/>
      <c r="E12" s="171" t="s">
        <v>1</v>
      </c>
      <c r="F12" s="171" t="s">
        <v>1</v>
      </c>
      <c r="G12" s="171" t="s">
        <v>1</v>
      </c>
      <c r="H12" s="169">
        <f>ROUND(SUM(H13:H16),2)</f>
        <v>0</v>
      </c>
      <c r="I12" s="169">
        <f>ROUND(SUM(I13:I16),2)</f>
        <v>0</v>
      </c>
      <c r="J12" s="169">
        <f>ROUND(SUM(J13:J16),2)</f>
        <v>0</v>
      </c>
      <c r="K12" s="163" t="s">
        <v>53</v>
      </c>
      <c r="L12" s="169">
        <f>SUM(L13:L16)</f>
        <v>0</v>
      </c>
      <c r="M12" s="170" t="s">
        <v>53</v>
      </c>
      <c r="AI12" s="163" t="s">
        <v>53</v>
      </c>
      <c r="AS12" s="169">
        <f>SUM(AJ13:AJ16)</f>
        <v>0</v>
      </c>
      <c r="AT12" s="169">
        <f>SUM(AK13:AK16)</f>
        <v>0</v>
      </c>
      <c r="AU12" s="169">
        <f>SUM(AL13:AL16)</f>
        <v>0</v>
      </c>
    </row>
    <row r="13" spans="1:76" x14ac:dyDescent="0.25">
      <c r="A13" s="168" t="s">
        <v>114</v>
      </c>
      <c r="B13" s="167" t="s">
        <v>653</v>
      </c>
      <c r="C13" s="88" t="s">
        <v>652</v>
      </c>
      <c r="D13" s="87"/>
      <c r="E13" s="167" t="s">
        <v>238</v>
      </c>
      <c r="F13" s="161">
        <v>30.5</v>
      </c>
      <c r="G13" s="165">
        <v>0</v>
      </c>
      <c r="H13" s="161">
        <f>ROUND(F13*AO13,2)</f>
        <v>0</v>
      </c>
      <c r="I13" s="161">
        <f>ROUND(F13*AP13,2)</f>
        <v>0</v>
      </c>
      <c r="J13" s="161">
        <f>ROUND(F13*G13,2)</f>
        <v>0</v>
      </c>
      <c r="K13" s="161">
        <v>0</v>
      </c>
      <c r="L13" s="161">
        <f>F13*K13</f>
        <v>0</v>
      </c>
      <c r="M13" s="164" t="s">
        <v>121</v>
      </c>
      <c r="Z13" s="161">
        <f>ROUND(IF(AQ13="5",BJ13,0),2)</f>
        <v>0</v>
      </c>
      <c r="AB13" s="161">
        <f>ROUND(IF(AQ13="1",BH13,0),2)</f>
        <v>0</v>
      </c>
      <c r="AC13" s="161">
        <f>ROUND(IF(AQ13="1",BI13,0),2)</f>
        <v>0</v>
      </c>
      <c r="AD13" s="161">
        <f>ROUND(IF(AQ13="7",BH13,0),2)</f>
        <v>0</v>
      </c>
      <c r="AE13" s="161">
        <f>ROUND(IF(AQ13="7",BI13,0),2)</f>
        <v>0</v>
      </c>
      <c r="AF13" s="161">
        <f>ROUND(IF(AQ13="2",BH13,0),2)</f>
        <v>0</v>
      </c>
      <c r="AG13" s="161">
        <f>ROUND(IF(AQ13="2",BI13,0),2)</f>
        <v>0</v>
      </c>
      <c r="AH13" s="161">
        <f>ROUND(IF(AQ13="0",BJ13,0),2)</f>
        <v>0</v>
      </c>
      <c r="AI13" s="163" t="s">
        <v>53</v>
      </c>
      <c r="AJ13" s="161">
        <f>IF(AN13=0,J13,0)</f>
        <v>0</v>
      </c>
      <c r="AK13" s="161">
        <f>IF(AN13=12,J13,0)</f>
        <v>0</v>
      </c>
      <c r="AL13" s="161">
        <f>IF(AN13=21,J13,0)</f>
        <v>0</v>
      </c>
      <c r="AN13" s="161">
        <v>21</v>
      </c>
      <c r="AO13" s="161">
        <f>G13*0</f>
        <v>0</v>
      </c>
      <c r="AP13" s="161">
        <f>G13*(1-0)</f>
        <v>0</v>
      </c>
      <c r="AQ13" s="162" t="s">
        <v>114</v>
      </c>
      <c r="AV13" s="161">
        <f>ROUND(AW13+AX13,2)</f>
        <v>0</v>
      </c>
      <c r="AW13" s="161">
        <f>ROUND(F13*AO13,2)</f>
        <v>0</v>
      </c>
      <c r="AX13" s="161">
        <f>ROUND(F13*AP13,2)</f>
        <v>0</v>
      </c>
      <c r="AY13" s="162" t="s">
        <v>650</v>
      </c>
      <c r="AZ13" s="162" t="s">
        <v>610</v>
      </c>
      <c r="BA13" s="163" t="s">
        <v>117</v>
      </c>
      <c r="BC13" s="161">
        <f>AW13+AX13</f>
        <v>0</v>
      </c>
      <c r="BD13" s="161">
        <f>G13/(100-BE13)*100</f>
        <v>0</v>
      </c>
      <c r="BE13" s="161">
        <v>0</v>
      </c>
      <c r="BF13" s="161">
        <f>L13</f>
        <v>0</v>
      </c>
      <c r="BH13" s="161">
        <f>F13*AO13</f>
        <v>0</v>
      </c>
      <c r="BI13" s="161">
        <f>F13*AP13</f>
        <v>0</v>
      </c>
      <c r="BJ13" s="161">
        <f>F13*G13</f>
        <v>0</v>
      </c>
      <c r="BK13" s="162" t="s">
        <v>116</v>
      </c>
      <c r="BL13" s="161">
        <v>12</v>
      </c>
      <c r="BW13" s="161">
        <v>21</v>
      </c>
      <c r="BX13" s="160" t="s">
        <v>652</v>
      </c>
    </row>
    <row r="14" spans="1:76" x14ac:dyDescent="0.25">
      <c r="A14" s="179"/>
      <c r="C14" s="178" t="s">
        <v>622</v>
      </c>
      <c r="D14" s="178" t="s">
        <v>621</v>
      </c>
      <c r="F14" s="177">
        <v>21.18</v>
      </c>
      <c r="M14" s="176"/>
    </row>
    <row r="15" spans="1:76" x14ac:dyDescent="0.25">
      <c r="A15" s="179"/>
      <c r="C15" s="178" t="s">
        <v>620</v>
      </c>
      <c r="D15" s="178" t="s">
        <v>560</v>
      </c>
      <c r="F15" s="177">
        <v>9.32</v>
      </c>
      <c r="M15" s="176"/>
    </row>
    <row r="16" spans="1:76" x14ac:dyDescent="0.25">
      <c r="A16" s="168" t="s">
        <v>178</v>
      </c>
      <c r="B16" s="167" t="s">
        <v>651</v>
      </c>
      <c r="C16" s="88" t="s">
        <v>649</v>
      </c>
      <c r="D16" s="87"/>
      <c r="E16" s="167" t="s">
        <v>238</v>
      </c>
      <c r="F16" s="161">
        <v>30.5</v>
      </c>
      <c r="G16" s="165">
        <v>0</v>
      </c>
      <c r="H16" s="161">
        <f>ROUND(F16*AO16,2)</f>
        <v>0</v>
      </c>
      <c r="I16" s="161">
        <f>ROUND(F16*AP16,2)</f>
        <v>0</v>
      </c>
      <c r="J16" s="161">
        <f>ROUND(F16*G16,2)</f>
        <v>0</v>
      </c>
      <c r="K16" s="161">
        <v>0</v>
      </c>
      <c r="L16" s="161">
        <f>F16*K16</f>
        <v>0</v>
      </c>
      <c r="M16" s="164" t="s">
        <v>121</v>
      </c>
      <c r="Z16" s="161">
        <f>ROUND(IF(AQ16="5",BJ16,0),2)</f>
        <v>0</v>
      </c>
      <c r="AB16" s="161">
        <f>ROUND(IF(AQ16="1",BH16,0),2)</f>
        <v>0</v>
      </c>
      <c r="AC16" s="161">
        <f>ROUND(IF(AQ16="1",BI16,0),2)</f>
        <v>0</v>
      </c>
      <c r="AD16" s="161">
        <f>ROUND(IF(AQ16="7",BH16,0),2)</f>
        <v>0</v>
      </c>
      <c r="AE16" s="161">
        <f>ROUND(IF(AQ16="7",BI16,0),2)</f>
        <v>0</v>
      </c>
      <c r="AF16" s="161">
        <f>ROUND(IF(AQ16="2",BH16,0),2)</f>
        <v>0</v>
      </c>
      <c r="AG16" s="161">
        <f>ROUND(IF(AQ16="2",BI16,0),2)</f>
        <v>0</v>
      </c>
      <c r="AH16" s="161">
        <f>ROUND(IF(AQ16="0",BJ16,0),2)</f>
        <v>0</v>
      </c>
      <c r="AI16" s="163" t="s">
        <v>53</v>
      </c>
      <c r="AJ16" s="161">
        <f>IF(AN16=0,J16,0)</f>
        <v>0</v>
      </c>
      <c r="AK16" s="161">
        <f>IF(AN16=12,J16,0)</f>
        <v>0</v>
      </c>
      <c r="AL16" s="161">
        <f>IF(AN16=21,J16,0)</f>
        <v>0</v>
      </c>
      <c r="AN16" s="161">
        <v>21</v>
      </c>
      <c r="AO16" s="161">
        <f>G16*0</f>
        <v>0</v>
      </c>
      <c r="AP16" s="161">
        <f>G16*(1-0)</f>
        <v>0</v>
      </c>
      <c r="AQ16" s="162" t="s">
        <v>114</v>
      </c>
      <c r="AV16" s="161">
        <f>ROUND(AW16+AX16,2)</f>
        <v>0</v>
      </c>
      <c r="AW16" s="161">
        <f>ROUND(F16*AO16,2)</f>
        <v>0</v>
      </c>
      <c r="AX16" s="161">
        <f>ROUND(F16*AP16,2)</f>
        <v>0</v>
      </c>
      <c r="AY16" s="162" t="s">
        <v>650</v>
      </c>
      <c r="AZ16" s="162" t="s">
        <v>610</v>
      </c>
      <c r="BA16" s="163" t="s">
        <v>117</v>
      </c>
      <c r="BC16" s="161">
        <f>AW16+AX16</f>
        <v>0</v>
      </c>
      <c r="BD16" s="161">
        <f>G16/(100-BE16)*100</f>
        <v>0</v>
      </c>
      <c r="BE16" s="161">
        <v>0</v>
      </c>
      <c r="BF16" s="161">
        <f>L16</f>
        <v>0</v>
      </c>
      <c r="BH16" s="161">
        <f>F16*AO16</f>
        <v>0</v>
      </c>
      <c r="BI16" s="161">
        <f>F16*AP16</f>
        <v>0</v>
      </c>
      <c r="BJ16" s="161">
        <f>F16*G16</f>
        <v>0</v>
      </c>
      <c r="BK16" s="162" t="s">
        <v>116</v>
      </c>
      <c r="BL16" s="161">
        <v>12</v>
      </c>
      <c r="BW16" s="161">
        <v>21</v>
      </c>
      <c r="BX16" s="160" t="s">
        <v>649</v>
      </c>
    </row>
    <row r="17" spans="1:76" x14ac:dyDescent="0.25">
      <c r="A17" s="179"/>
      <c r="C17" s="178" t="s">
        <v>622</v>
      </c>
      <c r="D17" s="178" t="s">
        <v>621</v>
      </c>
      <c r="F17" s="177">
        <v>21.18</v>
      </c>
      <c r="M17" s="176"/>
    </row>
    <row r="18" spans="1:76" x14ac:dyDescent="0.25">
      <c r="A18" s="179"/>
      <c r="C18" s="178" t="s">
        <v>620</v>
      </c>
      <c r="D18" s="178" t="s">
        <v>560</v>
      </c>
      <c r="F18" s="177">
        <v>9.32</v>
      </c>
      <c r="M18" s="176"/>
    </row>
    <row r="19" spans="1:76" x14ac:dyDescent="0.25">
      <c r="A19" s="175" t="s">
        <v>53</v>
      </c>
      <c r="B19" s="174" t="s">
        <v>597</v>
      </c>
      <c r="C19" s="173" t="s">
        <v>648</v>
      </c>
      <c r="D19" s="172"/>
      <c r="E19" s="171" t="s">
        <v>1</v>
      </c>
      <c r="F19" s="171" t="s">
        <v>1</v>
      </c>
      <c r="G19" s="171" t="s">
        <v>1</v>
      </c>
      <c r="H19" s="169">
        <f>ROUND(SUM(H20:H44),2)</f>
        <v>0</v>
      </c>
      <c r="I19" s="169">
        <f>ROUND(SUM(I20:I44),2)</f>
        <v>0</v>
      </c>
      <c r="J19" s="169">
        <f>ROUND(SUM(J20:J44),2)</f>
        <v>0</v>
      </c>
      <c r="K19" s="163" t="s">
        <v>53</v>
      </c>
      <c r="L19" s="169">
        <f>SUM(L20:L44)</f>
        <v>0</v>
      </c>
      <c r="M19" s="170" t="s">
        <v>53</v>
      </c>
      <c r="AI19" s="163" t="s">
        <v>53</v>
      </c>
      <c r="AS19" s="169">
        <f>SUM(AJ20:AJ44)</f>
        <v>0</v>
      </c>
      <c r="AT19" s="169">
        <f>SUM(AK20:AK44)</f>
        <v>0</v>
      </c>
      <c r="AU19" s="169">
        <f>SUM(AL20:AL44)</f>
        <v>0</v>
      </c>
    </row>
    <row r="20" spans="1:76" x14ac:dyDescent="0.25">
      <c r="A20" s="168" t="s">
        <v>647</v>
      </c>
      <c r="B20" s="167" t="s">
        <v>646</v>
      </c>
      <c r="C20" s="88" t="s">
        <v>645</v>
      </c>
      <c r="D20" s="87"/>
      <c r="E20" s="167" t="s">
        <v>238</v>
      </c>
      <c r="F20" s="161">
        <v>17.16</v>
      </c>
      <c r="G20" s="165">
        <v>0</v>
      </c>
      <c r="H20" s="161">
        <f>ROUND(F20*AO20,2)</f>
        <v>0</v>
      </c>
      <c r="I20" s="161">
        <f>ROUND(F20*AP20,2)</f>
        <v>0</v>
      </c>
      <c r="J20" s="161">
        <f>ROUND(F20*G20,2)</f>
        <v>0</v>
      </c>
      <c r="K20" s="161">
        <v>0</v>
      </c>
      <c r="L20" s="161">
        <f>F20*K20</f>
        <v>0</v>
      </c>
      <c r="M20" s="164" t="s">
        <v>121</v>
      </c>
      <c r="Z20" s="161">
        <f>ROUND(IF(AQ20="5",BJ20,0),2)</f>
        <v>0</v>
      </c>
      <c r="AB20" s="161">
        <f>ROUND(IF(AQ20="1",BH20,0),2)</f>
        <v>0</v>
      </c>
      <c r="AC20" s="161">
        <f>ROUND(IF(AQ20="1",BI20,0),2)</f>
        <v>0</v>
      </c>
      <c r="AD20" s="161">
        <f>ROUND(IF(AQ20="7",BH20,0),2)</f>
        <v>0</v>
      </c>
      <c r="AE20" s="161">
        <f>ROUND(IF(AQ20="7",BI20,0),2)</f>
        <v>0</v>
      </c>
      <c r="AF20" s="161">
        <f>ROUND(IF(AQ20="2",BH20,0),2)</f>
        <v>0</v>
      </c>
      <c r="AG20" s="161">
        <f>ROUND(IF(AQ20="2",BI20,0),2)</f>
        <v>0</v>
      </c>
      <c r="AH20" s="161">
        <f>ROUND(IF(AQ20="0",BJ20,0),2)</f>
        <v>0</v>
      </c>
      <c r="AI20" s="163" t="s">
        <v>53</v>
      </c>
      <c r="AJ20" s="161">
        <f>IF(AN20=0,J20,0)</f>
        <v>0</v>
      </c>
      <c r="AK20" s="161">
        <f>IF(AN20=12,J20,0)</f>
        <v>0</v>
      </c>
      <c r="AL20" s="161">
        <f>IF(AN20=21,J20,0)</f>
        <v>0</v>
      </c>
      <c r="AN20" s="161">
        <v>21</v>
      </c>
      <c r="AO20" s="161">
        <f>G20*0</f>
        <v>0</v>
      </c>
      <c r="AP20" s="161">
        <f>G20*(1-0)</f>
        <v>0</v>
      </c>
      <c r="AQ20" s="162" t="s">
        <v>114</v>
      </c>
      <c r="AV20" s="161">
        <f>ROUND(AW20+AX20,2)</f>
        <v>0</v>
      </c>
      <c r="AW20" s="161">
        <f>ROUND(F20*AO20,2)</f>
        <v>0</v>
      </c>
      <c r="AX20" s="161">
        <f>ROUND(F20*AP20,2)</f>
        <v>0</v>
      </c>
      <c r="AY20" s="162" t="s">
        <v>624</v>
      </c>
      <c r="AZ20" s="162" t="s">
        <v>610</v>
      </c>
      <c r="BA20" s="163" t="s">
        <v>117</v>
      </c>
      <c r="BC20" s="161">
        <f>AW20+AX20</f>
        <v>0</v>
      </c>
      <c r="BD20" s="161">
        <f>G20/(100-BE20)*100</f>
        <v>0</v>
      </c>
      <c r="BE20" s="161">
        <v>0</v>
      </c>
      <c r="BF20" s="161">
        <f>L20</f>
        <v>0</v>
      </c>
      <c r="BH20" s="161">
        <f>F20*AO20</f>
        <v>0</v>
      </c>
      <c r="BI20" s="161">
        <f>F20*AP20</f>
        <v>0</v>
      </c>
      <c r="BJ20" s="161">
        <f>F20*G20</f>
        <v>0</v>
      </c>
      <c r="BK20" s="162" t="s">
        <v>116</v>
      </c>
      <c r="BL20" s="161">
        <v>13</v>
      </c>
      <c r="BW20" s="161">
        <v>21</v>
      </c>
      <c r="BX20" s="160" t="s">
        <v>645</v>
      </c>
    </row>
    <row r="21" spans="1:76" x14ac:dyDescent="0.25">
      <c r="A21" s="179"/>
      <c r="C21" s="178" t="s">
        <v>619</v>
      </c>
      <c r="D21" s="178" t="s">
        <v>565</v>
      </c>
      <c r="F21" s="177">
        <v>12.672000000000001</v>
      </c>
      <c r="M21" s="176"/>
    </row>
    <row r="22" spans="1:76" x14ac:dyDescent="0.25">
      <c r="A22" s="179"/>
      <c r="C22" s="178" t="s">
        <v>618</v>
      </c>
      <c r="D22" s="178" t="s">
        <v>565</v>
      </c>
      <c r="F22" s="177">
        <v>1.5840000000000001</v>
      </c>
      <c r="M22" s="176"/>
    </row>
    <row r="23" spans="1:76" x14ac:dyDescent="0.25">
      <c r="A23" s="179"/>
      <c r="C23" s="178" t="s">
        <v>617</v>
      </c>
      <c r="D23" s="178" t="s">
        <v>565</v>
      </c>
      <c r="F23" s="177">
        <v>2.9039999999999999</v>
      </c>
      <c r="M23" s="176"/>
    </row>
    <row r="24" spans="1:76" x14ac:dyDescent="0.25">
      <c r="A24" s="168" t="s">
        <v>644</v>
      </c>
      <c r="B24" s="167" t="s">
        <v>643</v>
      </c>
      <c r="C24" s="88" t="s">
        <v>642</v>
      </c>
      <c r="D24" s="87"/>
      <c r="E24" s="167" t="s">
        <v>238</v>
      </c>
      <c r="F24" s="161">
        <v>17.16</v>
      </c>
      <c r="G24" s="165">
        <v>0</v>
      </c>
      <c r="H24" s="161">
        <f>ROUND(F24*AO24,2)</f>
        <v>0</v>
      </c>
      <c r="I24" s="161">
        <f>ROUND(F24*AP24,2)</f>
        <v>0</v>
      </c>
      <c r="J24" s="161">
        <f>ROUND(F24*G24,2)</f>
        <v>0</v>
      </c>
      <c r="K24" s="161">
        <v>0</v>
      </c>
      <c r="L24" s="161">
        <f>F24*K24</f>
        <v>0</v>
      </c>
      <c r="M24" s="164" t="s">
        <v>121</v>
      </c>
      <c r="Z24" s="161">
        <f>ROUND(IF(AQ24="5",BJ24,0),2)</f>
        <v>0</v>
      </c>
      <c r="AB24" s="161">
        <f>ROUND(IF(AQ24="1",BH24,0),2)</f>
        <v>0</v>
      </c>
      <c r="AC24" s="161">
        <f>ROUND(IF(AQ24="1",BI24,0),2)</f>
        <v>0</v>
      </c>
      <c r="AD24" s="161">
        <f>ROUND(IF(AQ24="7",BH24,0),2)</f>
        <v>0</v>
      </c>
      <c r="AE24" s="161">
        <f>ROUND(IF(AQ24="7",BI24,0),2)</f>
        <v>0</v>
      </c>
      <c r="AF24" s="161">
        <f>ROUND(IF(AQ24="2",BH24,0),2)</f>
        <v>0</v>
      </c>
      <c r="AG24" s="161">
        <f>ROUND(IF(AQ24="2",BI24,0),2)</f>
        <v>0</v>
      </c>
      <c r="AH24" s="161">
        <f>ROUND(IF(AQ24="0",BJ24,0),2)</f>
        <v>0</v>
      </c>
      <c r="AI24" s="163" t="s">
        <v>53</v>
      </c>
      <c r="AJ24" s="161">
        <f>IF(AN24=0,J24,0)</f>
        <v>0</v>
      </c>
      <c r="AK24" s="161">
        <f>IF(AN24=12,J24,0)</f>
        <v>0</v>
      </c>
      <c r="AL24" s="161">
        <f>IF(AN24=21,J24,0)</f>
        <v>0</v>
      </c>
      <c r="AN24" s="161">
        <v>21</v>
      </c>
      <c r="AO24" s="161">
        <f>G24*0</f>
        <v>0</v>
      </c>
      <c r="AP24" s="161">
        <f>G24*(1-0)</f>
        <v>0</v>
      </c>
      <c r="AQ24" s="162" t="s">
        <v>114</v>
      </c>
      <c r="AV24" s="161">
        <f>ROUND(AW24+AX24,2)</f>
        <v>0</v>
      </c>
      <c r="AW24" s="161">
        <f>ROUND(F24*AO24,2)</f>
        <v>0</v>
      </c>
      <c r="AX24" s="161">
        <f>ROUND(F24*AP24,2)</f>
        <v>0</v>
      </c>
      <c r="AY24" s="162" t="s">
        <v>624</v>
      </c>
      <c r="AZ24" s="162" t="s">
        <v>610</v>
      </c>
      <c r="BA24" s="163" t="s">
        <v>117</v>
      </c>
      <c r="BC24" s="161">
        <f>AW24+AX24</f>
        <v>0</v>
      </c>
      <c r="BD24" s="161">
        <f>G24/(100-BE24)*100</f>
        <v>0</v>
      </c>
      <c r="BE24" s="161">
        <v>0</v>
      </c>
      <c r="BF24" s="161">
        <f>L24</f>
        <v>0</v>
      </c>
      <c r="BH24" s="161">
        <f>F24*AO24</f>
        <v>0</v>
      </c>
      <c r="BI24" s="161">
        <f>F24*AP24</f>
        <v>0</v>
      </c>
      <c r="BJ24" s="161">
        <f>F24*G24</f>
        <v>0</v>
      </c>
      <c r="BK24" s="162" t="s">
        <v>116</v>
      </c>
      <c r="BL24" s="161">
        <v>13</v>
      </c>
      <c r="BW24" s="161">
        <v>21</v>
      </c>
      <c r="BX24" s="160" t="s">
        <v>642</v>
      </c>
    </row>
    <row r="25" spans="1:76" x14ac:dyDescent="0.25">
      <c r="A25" s="179"/>
      <c r="C25" s="178" t="s">
        <v>619</v>
      </c>
      <c r="D25" s="178" t="s">
        <v>565</v>
      </c>
      <c r="F25" s="177">
        <v>12.672000000000001</v>
      </c>
      <c r="M25" s="176"/>
    </row>
    <row r="26" spans="1:76" x14ac:dyDescent="0.25">
      <c r="A26" s="179"/>
      <c r="C26" s="178" t="s">
        <v>618</v>
      </c>
      <c r="D26" s="178" t="s">
        <v>565</v>
      </c>
      <c r="F26" s="177">
        <v>1.5840000000000001</v>
      </c>
      <c r="M26" s="176"/>
    </row>
    <row r="27" spans="1:76" x14ac:dyDescent="0.25">
      <c r="A27" s="179"/>
      <c r="C27" s="178" t="s">
        <v>617</v>
      </c>
      <c r="D27" s="178" t="s">
        <v>565</v>
      </c>
      <c r="F27" s="177">
        <v>2.9039999999999999</v>
      </c>
      <c r="M27" s="176"/>
    </row>
    <row r="28" spans="1:76" x14ac:dyDescent="0.25">
      <c r="A28" s="168" t="s">
        <v>205</v>
      </c>
      <c r="B28" s="167" t="s">
        <v>641</v>
      </c>
      <c r="C28" s="88" t="s">
        <v>640</v>
      </c>
      <c r="D28" s="87"/>
      <c r="E28" s="167" t="s">
        <v>238</v>
      </c>
      <c r="F28" s="161">
        <v>9.1349999999999998</v>
      </c>
      <c r="G28" s="165">
        <v>0</v>
      </c>
      <c r="H28" s="161">
        <f>ROUND(F28*AO28,2)</f>
        <v>0</v>
      </c>
      <c r="I28" s="161">
        <f>ROUND(F28*AP28,2)</f>
        <v>0</v>
      </c>
      <c r="J28" s="161">
        <f>ROUND(F28*G28,2)</f>
        <v>0</v>
      </c>
      <c r="K28" s="161">
        <v>0</v>
      </c>
      <c r="L28" s="161">
        <f>F28*K28</f>
        <v>0</v>
      </c>
      <c r="M28" s="164" t="s">
        <v>121</v>
      </c>
      <c r="Z28" s="161">
        <f>ROUND(IF(AQ28="5",BJ28,0),2)</f>
        <v>0</v>
      </c>
      <c r="AB28" s="161">
        <f>ROUND(IF(AQ28="1",BH28,0),2)</f>
        <v>0</v>
      </c>
      <c r="AC28" s="161">
        <f>ROUND(IF(AQ28="1",BI28,0),2)</f>
        <v>0</v>
      </c>
      <c r="AD28" s="161">
        <f>ROUND(IF(AQ28="7",BH28,0),2)</f>
        <v>0</v>
      </c>
      <c r="AE28" s="161">
        <f>ROUND(IF(AQ28="7",BI28,0),2)</f>
        <v>0</v>
      </c>
      <c r="AF28" s="161">
        <f>ROUND(IF(AQ28="2",BH28,0),2)</f>
        <v>0</v>
      </c>
      <c r="AG28" s="161">
        <f>ROUND(IF(AQ28="2",BI28,0),2)</f>
        <v>0</v>
      </c>
      <c r="AH28" s="161">
        <f>ROUND(IF(AQ28="0",BJ28,0),2)</f>
        <v>0</v>
      </c>
      <c r="AI28" s="163" t="s">
        <v>53</v>
      </c>
      <c r="AJ28" s="161">
        <f>IF(AN28=0,J28,0)</f>
        <v>0</v>
      </c>
      <c r="AK28" s="161">
        <f>IF(AN28=12,J28,0)</f>
        <v>0</v>
      </c>
      <c r="AL28" s="161">
        <f>IF(AN28=21,J28,0)</f>
        <v>0</v>
      </c>
      <c r="AN28" s="161">
        <v>21</v>
      </c>
      <c r="AO28" s="161">
        <f>G28*0</f>
        <v>0</v>
      </c>
      <c r="AP28" s="161">
        <f>G28*(1-0)</f>
        <v>0</v>
      </c>
      <c r="AQ28" s="162" t="s">
        <v>114</v>
      </c>
      <c r="AV28" s="161">
        <f>ROUND(AW28+AX28,2)</f>
        <v>0</v>
      </c>
      <c r="AW28" s="161">
        <f>ROUND(F28*AO28,2)</f>
        <v>0</v>
      </c>
      <c r="AX28" s="161">
        <f>ROUND(F28*AP28,2)</f>
        <v>0</v>
      </c>
      <c r="AY28" s="162" t="s">
        <v>624</v>
      </c>
      <c r="AZ28" s="162" t="s">
        <v>610</v>
      </c>
      <c r="BA28" s="163" t="s">
        <v>117</v>
      </c>
      <c r="BC28" s="161">
        <f>AW28+AX28</f>
        <v>0</v>
      </c>
      <c r="BD28" s="161">
        <f>G28/(100-BE28)*100</f>
        <v>0</v>
      </c>
      <c r="BE28" s="161">
        <v>0</v>
      </c>
      <c r="BF28" s="161">
        <f>L28</f>
        <v>0</v>
      </c>
      <c r="BH28" s="161">
        <f>F28*AO28</f>
        <v>0</v>
      </c>
      <c r="BI28" s="161">
        <f>F28*AP28</f>
        <v>0</v>
      </c>
      <c r="BJ28" s="161">
        <f>F28*G28</f>
        <v>0</v>
      </c>
      <c r="BK28" s="162" t="s">
        <v>116</v>
      </c>
      <c r="BL28" s="161">
        <v>13</v>
      </c>
      <c r="BW28" s="161">
        <v>21</v>
      </c>
      <c r="BX28" s="160" t="s">
        <v>640</v>
      </c>
    </row>
    <row r="29" spans="1:76" x14ac:dyDescent="0.25">
      <c r="A29" s="179"/>
      <c r="C29" s="178" t="s">
        <v>634</v>
      </c>
      <c r="D29" s="178" t="s">
        <v>633</v>
      </c>
      <c r="F29" s="177">
        <v>8.7479999999999993</v>
      </c>
      <c r="M29" s="176"/>
    </row>
    <row r="30" spans="1:76" x14ac:dyDescent="0.25">
      <c r="A30" s="179"/>
      <c r="C30" s="178" t="s">
        <v>616</v>
      </c>
      <c r="D30" s="178" t="s">
        <v>615</v>
      </c>
      <c r="F30" s="177">
        <v>0.38700000000000001</v>
      </c>
      <c r="M30" s="176"/>
    </row>
    <row r="31" spans="1:76" x14ac:dyDescent="0.25">
      <c r="A31" s="168" t="s">
        <v>639</v>
      </c>
      <c r="B31" s="167" t="s">
        <v>638</v>
      </c>
      <c r="C31" s="88" t="s">
        <v>637</v>
      </c>
      <c r="D31" s="87"/>
      <c r="E31" s="167" t="s">
        <v>238</v>
      </c>
      <c r="F31" s="161">
        <v>9.1349999999999998</v>
      </c>
      <c r="G31" s="165">
        <v>0</v>
      </c>
      <c r="H31" s="161">
        <f>ROUND(F31*AO31,2)</f>
        <v>0</v>
      </c>
      <c r="I31" s="161">
        <f>ROUND(F31*AP31,2)</f>
        <v>0</v>
      </c>
      <c r="J31" s="161">
        <f>ROUND(F31*G31,2)</f>
        <v>0</v>
      </c>
      <c r="K31" s="161">
        <v>0</v>
      </c>
      <c r="L31" s="161">
        <f>F31*K31</f>
        <v>0</v>
      </c>
      <c r="M31" s="164" t="s">
        <v>121</v>
      </c>
      <c r="Z31" s="161">
        <f>ROUND(IF(AQ31="5",BJ31,0),2)</f>
        <v>0</v>
      </c>
      <c r="AB31" s="161">
        <f>ROUND(IF(AQ31="1",BH31,0),2)</f>
        <v>0</v>
      </c>
      <c r="AC31" s="161">
        <f>ROUND(IF(AQ31="1",BI31,0),2)</f>
        <v>0</v>
      </c>
      <c r="AD31" s="161">
        <f>ROUND(IF(AQ31="7",BH31,0),2)</f>
        <v>0</v>
      </c>
      <c r="AE31" s="161">
        <f>ROUND(IF(AQ31="7",BI31,0),2)</f>
        <v>0</v>
      </c>
      <c r="AF31" s="161">
        <f>ROUND(IF(AQ31="2",BH31,0),2)</f>
        <v>0</v>
      </c>
      <c r="AG31" s="161">
        <f>ROUND(IF(AQ31="2",BI31,0),2)</f>
        <v>0</v>
      </c>
      <c r="AH31" s="161">
        <f>ROUND(IF(AQ31="0",BJ31,0),2)</f>
        <v>0</v>
      </c>
      <c r="AI31" s="163" t="s">
        <v>53</v>
      </c>
      <c r="AJ31" s="161">
        <f>IF(AN31=0,J31,0)</f>
        <v>0</v>
      </c>
      <c r="AK31" s="161">
        <f>IF(AN31=12,J31,0)</f>
        <v>0</v>
      </c>
      <c r="AL31" s="161">
        <f>IF(AN31=21,J31,0)</f>
        <v>0</v>
      </c>
      <c r="AN31" s="161">
        <v>21</v>
      </c>
      <c r="AO31" s="161">
        <f>G31*0</f>
        <v>0</v>
      </c>
      <c r="AP31" s="161">
        <f>G31*(1-0)</f>
        <v>0</v>
      </c>
      <c r="AQ31" s="162" t="s">
        <v>114</v>
      </c>
      <c r="AV31" s="161">
        <f>ROUND(AW31+AX31,2)</f>
        <v>0</v>
      </c>
      <c r="AW31" s="161">
        <f>ROUND(F31*AO31,2)</f>
        <v>0</v>
      </c>
      <c r="AX31" s="161">
        <f>ROUND(F31*AP31,2)</f>
        <v>0</v>
      </c>
      <c r="AY31" s="162" t="s">
        <v>624</v>
      </c>
      <c r="AZ31" s="162" t="s">
        <v>610</v>
      </c>
      <c r="BA31" s="163" t="s">
        <v>117</v>
      </c>
      <c r="BC31" s="161">
        <f>AW31+AX31</f>
        <v>0</v>
      </c>
      <c r="BD31" s="161">
        <f>G31/(100-BE31)*100</f>
        <v>0</v>
      </c>
      <c r="BE31" s="161">
        <v>0</v>
      </c>
      <c r="BF31" s="161">
        <f>L31</f>
        <v>0</v>
      </c>
      <c r="BH31" s="161">
        <f>F31*AO31</f>
        <v>0</v>
      </c>
      <c r="BI31" s="161">
        <f>F31*AP31</f>
        <v>0</v>
      </c>
      <c r="BJ31" s="161">
        <f>F31*G31</f>
        <v>0</v>
      </c>
      <c r="BK31" s="162" t="s">
        <v>116</v>
      </c>
      <c r="BL31" s="161">
        <v>13</v>
      </c>
      <c r="BW31" s="161">
        <v>21</v>
      </c>
      <c r="BX31" s="160" t="s">
        <v>637</v>
      </c>
    </row>
    <row r="32" spans="1:76" x14ac:dyDescent="0.25">
      <c r="A32" s="179"/>
      <c r="C32" s="178" t="s">
        <v>634</v>
      </c>
      <c r="D32" s="178" t="s">
        <v>633</v>
      </c>
      <c r="F32" s="177">
        <v>8.7479999999999993</v>
      </c>
      <c r="M32" s="176"/>
    </row>
    <row r="33" spans="1:76" x14ac:dyDescent="0.25">
      <c r="A33" s="179"/>
      <c r="C33" s="178" t="s">
        <v>616</v>
      </c>
      <c r="D33" s="178" t="s">
        <v>615</v>
      </c>
      <c r="F33" s="177">
        <v>0.38700000000000001</v>
      </c>
      <c r="M33" s="176"/>
    </row>
    <row r="34" spans="1:76" x14ac:dyDescent="0.25">
      <c r="A34" s="168" t="s">
        <v>166</v>
      </c>
      <c r="B34" s="167" t="s">
        <v>636</v>
      </c>
      <c r="C34" s="88" t="s">
        <v>635</v>
      </c>
      <c r="D34" s="87"/>
      <c r="E34" s="167" t="s">
        <v>238</v>
      </c>
      <c r="F34" s="161">
        <v>8.7479999999999993</v>
      </c>
      <c r="G34" s="165">
        <v>0</v>
      </c>
      <c r="H34" s="161">
        <f>ROUND(F34*AO34,2)</f>
        <v>0</v>
      </c>
      <c r="I34" s="161">
        <f>ROUND(F34*AP34,2)</f>
        <v>0</v>
      </c>
      <c r="J34" s="161">
        <f>ROUND(F34*G34,2)</f>
        <v>0</v>
      </c>
      <c r="K34" s="161">
        <v>0</v>
      </c>
      <c r="L34" s="161">
        <f>F34*K34</f>
        <v>0</v>
      </c>
      <c r="M34" s="164" t="s">
        <v>121</v>
      </c>
      <c r="Z34" s="161">
        <f>ROUND(IF(AQ34="5",BJ34,0),2)</f>
        <v>0</v>
      </c>
      <c r="AB34" s="161">
        <f>ROUND(IF(AQ34="1",BH34,0),2)</f>
        <v>0</v>
      </c>
      <c r="AC34" s="161">
        <f>ROUND(IF(AQ34="1",BI34,0),2)</f>
        <v>0</v>
      </c>
      <c r="AD34" s="161">
        <f>ROUND(IF(AQ34="7",BH34,0),2)</f>
        <v>0</v>
      </c>
      <c r="AE34" s="161">
        <f>ROUND(IF(AQ34="7",BI34,0),2)</f>
        <v>0</v>
      </c>
      <c r="AF34" s="161">
        <f>ROUND(IF(AQ34="2",BH34,0),2)</f>
        <v>0</v>
      </c>
      <c r="AG34" s="161">
        <f>ROUND(IF(AQ34="2",BI34,0),2)</f>
        <v>0</v>
      </c>
      <c r="AH34" s="161">
        <f>ROUND(IF(AQ34="0",BJ34,0),2)</f>
        <v>0</v>
      </c>
      <c r="AI34" s="163" t="s">
        <v>53</v>
      </c>
      <c r="AJ34" s="161">
        <f>IF(AN34=0,J34,0)</f>
        <v>0</v>
      </c>
      <c r="AK34" s="161">
        <f>IF(AN34=12,J34,0)</f>
        <v>0</v>
      </c>
      <c r="AL34" s="161">
        <f>IF(AN34=21,J34,0)</f>
        <v>0</v>
      </c>
      <c r="AN34" s="161">
        <v>21</v>
      </c>
      <c r="AO34" s="161">
        <f>G34*0</f>
        <v>0</v>
      </c>
      <c r="AP34" s="161">
        <f>G34*(1-0)</f>
        <v>0</v>
      </c>
      <c r="AQ34" s="162" t="s">
        <v>114</v>
      </c>
      <c r="AV34" s="161">
        <f>ROUND(AW34+AX34,2)</f>
        <v>0</v>
      </c>
      <c r="AW34" s="161">
        <f>ROUND(F34*AO34,2)</f>
        <v>0</v>
      </c>
      <c r="AX34" s="161">
        <f>ROUND(F34*AP34,2)</f>
        <v>0</v>
      </c>
      <c r="AY34" s="162" t="s">
        <v>624</v>
      </c>
      <c r="AZ34" s="162" t="s">
        <v>610</v>
      </c>
      <c r="BA34" s="163" t="s">
        <v>117</v>
      </c>
      <c r="BC34" s="161">
        <f>AW34+AX34</f>
        <v>0</v>
      </c>
      <c r="BD34" s="161">
        <f>G34/(100-BE34)*100</f>
        <v>0</v>
      </c>
      <c r="BE34" s="161">
        <v>0</v>
      </c>
      <c r="BF34" s="161">
        <f>L34</f>
        <v>0</v>
      </c>
      <c r="BH34" s="161">
        <f>F34*AO34</f>
        <v>0</v>
      </c>
      <c r="BI34" s="161">
        <f>F34*AP34</f>
        <v>0</v>
      </c>
      <c r="BJ34" s="161">
        <f>F34*G34</f>
        <v>0</v>
      </c>
      <c r="BK34" s="162" t="s">
        <v>116</v>
      </c>
      <c r="BL34" s="161">
        <v>13</v>
      </c>
      <c r="BW34" s="161">
        <v>21</v>
      </c>
      <c r="BX34" s="160" t="s">
        <v>635</v>
      </c>
    </row>
    <row r="35" spans="1:76" x14ac:dyDescent="0.25">
      <c r="A35" s="179"/>
      <c r="C35" s="178" t="s">
        <v>634</v>
      </c>
      <c r="D35" s="178" t="s">
        <v>633</v>
      </c>
      <c r="F35" s="177">
        <v>8.7479999999999993</v>
      </c>
      <c r="M35" s="176"/>
    </row>
    <row r="36" spans="1:76" x14ac:dyDescent="0.25">
      <c r="A36" s="168" t="s">
        <v>632</v>
      </c>
      <c r="B36" s="167" t="s">
        <v>631</v>
      </c>
      <c r="C36" s="88" t="s">
        <v>630</v>
      </c>
      <c r="D36" s="87"/>
      <c r="E36" s="167" t="s">
        <v>238</v>
      </c>
      <c r="F36" s="161">
        <v>48.046999999999997</v>
      </c>
      <c r="G36" s="165">
        <v>0</v>
      </c>
      <c r="H36" s="161">
        <f>ROUND(F36*AO36,2)</f>
        <v>0</v>
      </c>
      <c r="I36" s="161">
        <f>ROUND(F36*AP36,2)</f>
        <v>0</v>
      </c>
      <c r="J36" s="161">
        <f>ROUND(F36*G36,2)</f>
        <v>0</v>
      </c>
      <c r="K36" s="161">
        <v>0</v>
      </c>
      <c r="L36" s="161">
        <f>F36*K36</f>
        <v>0</v>
      </c>
      <c r="M36" s="164" t="s">
        <v>121</v>
      </c>
      <c r="Z36" s="161">
        <f>ROUND(IF(AQ36="5",BJ36,0),2)</f>
        <v>0</v>
      </c>
      <c r="AB36" s="161">
        <f>ROUND(IF(AQ36="1",BH36,0),2)</f>
        <v>0</v>
      </c>
      <c r="AC36" s="161">
        <f>ROUND(IF(AQ36="1",BI36,0),2)</f>
        <v>0</v>
      </c>
      <c r="AD36" s="161">
        <f>ROUND(IF(AQ36="7",BH36,0),2)</f>
        <v>0</v>
      </c>
      <c r="AE36" s="161">
        <f>ROUND(IF(AQ36="7",BI36,0),2)</f>
        <v>0</v>
      </c>
      <c r="AF36" s="161">
        <f>ROUND(IF(AQ36="2",BH36,0),2)</f>
        <v>0</v>
      </c>
      <c r="AG36" s="161">
        <f>ROUND(IF(AQ36="2",BI36,0),2)</f>
        <v>0</v>
      </c>
      <c r="AH36" s="161">
        <f>ROUND(IF(AQ36="0",BJ36,0),2)</f>
        <v>0</v>
      </c>
      <c r="AI36" s="163" t="s">
        <v>53</v>
      </c>
      <c r="AJ36" s="161">
        <f>IF(AN36=0,J36,0)</f>
        <v>0</v>
      </c>
      <c r="AK36" s="161">
        <f>IF(AN36=12,J36,0)</f>
        <v>0</v>
      </c>
      <c r="AL36" s="161">
        <f>IF(AN36=21,J36,0)</f>
        <v>0</v>
      </c>
      <c r="AN36" s="161">
        <v>21</v>
      </c>
      <c r="AO36" s="161">
        <f>G36*0</f>
        <v>0</v>
      </c>
      <c r="AP36" s="161">
        <f>G36*(1-0)</f>
        <v>0</v>
      </c>
      <c r="AQ36" s="162" t="s">
        <v>114</v>
      </c>
      <c r="AV36" s="161">
        <f>ROUND(AW36+AX36,2)</f>
        <v>0</v>
      </c>
      <c r="AW36" s="161">
        <f>ROUND(F36*AO36,2)</f>
        <v>0</v>
      </c>
      <c r="AX36" s="161">
        <f>ROUND(F36*AP36,2)</f>
        <v>0</v>
      </c>
      <c r="AY36" s="162" t="s">
        <v>624</v>
      </c>
      <c r="AZ36" s="162" t="s">
        <v>610</v>
      </c>
      <c r="BA36" s="163" t="s">
        <v>117</v>
      </c>
      <c r="BC36" s="161">
        <f>AW36+AX36</f>
        <v>0</v>
      </c>
      <c r="BD36" s="161">
        <f>G36/(100-BE36)*100</f>
        <v>0</v>
      </c>
      <c r="BE36" s="161">
        <v>0</v>
      </c>
      <c r="BF36" s="161">
        <f>L36</f>
        <v>0</v>
      </c>
      <c r="BH36" s="161">
        <f>F36*AO36</f>
        <v>0</v>
      </c>
      <c r="BI36" s="161">
        <f>F36*AP36</f>
        <v>0</v>
      </c>
      <c r="BJ36" s="161">
        <f>F36*G36</f>
        <v>0</v>
      </c>
      <c r="BK36" s="162" t="s">
        <v>116</v>
      </c>
      <c r="BL36" s="161">
        <v>13</v>
      </c>
      <c r="BW36" s="161">
        <v>21</v>
      </c>
      <c r="BX36" s="160" t="s">
        <v>630</v>
      </c>
    </row>
    <row r="37" spans="1:76" x14ac:dyDescent="0.25">
      <c r="A37" s="179"/>
      <c r="C37" s="178" t="s">
        <v>622</v>
      </c>
      <c r="D37" s="178" t="s">
        <v>621</v>
      </c>
      <c r="F37" s="177">
        <v>21.18</v>
      </c>
      <c r="M37" s="176"/>
    </row>
    <row r="38" spans="1:76" x14ac:dyDescent="0.25">
      <c r="A38" s="179"/>
      <c r="C38" s="178" t="s">
        <v>620</v>
      </c>
      <c r="D38" s="178" t="s">
        <v>560</v>
      </c>
      <c r="F38" s="177">
        <v>9.32</v>
      </c>
      <c r="M38" s="176"/>
    </row>
    <row r="39" spans="1:76" x14ac:dyDescent="0.25">
      <c r="A39" s="179"/>
      <c r="C39" s="178" t="s">
        <v>619</v>
      </c>
      <c r="D39" s="178" t="s">
        <v>565</v>
      </c>
      <c r="F39" s="177">
        <v>12.672000000000001</v>
      </c>
      <c r="M39" s="176"/>
    </row>
    <row r="40" spans="1:76" x14ac:dyDescent="0.25">
      <c r="A40" s="179"/>
      <c r="C40" s="178" t="s">
        <v>618</v>
      </c>
      <c r="D40" s="178" t="s">
        <v>565</v>
      </c>
      <c r="F40" s="177">
        <v>1.5840000000000001</v>
      </c>
      <c r="M40" s="176"/>
    </row>
    <row r="41" spans="1:76" x14ac:dyDescent="0.25">
      <c r="A41" s="179"/>
      <c r="C41" s="178" t="s">
        <v>617</v>
      </c>
      <c r="D41" s="178" t="s">
        <v>565</v>
      </c>
      <c r="F41" s="177">
        <v>2.9039999999999999</v>
      </c>
      <c r="M41" s="176"/>
    </row>
    <row r="42" spans="1:76" x14ac:dyDescent="0.25">
      <c r="A42" s="179"/>
      <c r="C42" s="178" t="s">
        <v>616</v>
      </c>
      <c r="D42" s="178" t="s">
        <v>615</v>
      </c>
      <c r="F42" s="177">
        <v>0.38700000000000001</v>
      </c>
      <c r="M42" s="176"/>
    </row>
    <row r="43" spans="1:76" x14ac:dyDescent="0.25">
      <c r="A43" s="168" t="s">
        <v>629</v>
      </c>
      <c r="B43" s="167" t="s">
        <v>628</v>
      </c>
      <c r="C43" s="88" t="s">
        <v>627</v>
      </c>
      <c r="D43" s="87"/>
      <c r="E43" s="167" t="s">
        <v>459</v>
      </c>
      <c r="F43" s="161">
        <v>5</v>
      </c>
      <c r="G43" s="165">
        <v>0</v>
      </c>
      <c r="H43" s="161">
        <f>ROUND(F43*AO43,2)</f>
        <v>0</v>
      </c>
      <c r="I43" s="161">
        <f>ROUND(F43*AP43,2)</f>
        <v>0</v>
      </c>
      <c r="J43" s="161">
        <f>ROUND(F43*G43,2)</f>
        <v>0</v>
      </c>
      <c r="K43" s="161">
        <v>0</v>
      </c>
      <c r="L43" s="161">
        <f>F43*K43</f>
        <v>0</v>
      </c>
      <c r="M43" s="164" t="s">
        <v>179</v>
      </c>
      <c r="Z43" s="161">
        <f>ROUND(IF(AQ43="5",BJ43,0),2)</f>
        <v>0</v>
      </c>
      <c r="AB43" s="161">
        <f>ROUND(IF(AQ43="1",BH43,0),2)</f>
        <v>0</v>
      </c>
      <c r="AC43" s="161">
        <f>ROUND(IF(AQ43="1",BI43,0),2)</f>
        <v>0</v>
      </c>
      <c r="AD43" s="161">
        <f>ROUND(IF(AQ43="7",BH43,0),2)</f>
        <v>0</v>
      </c>
      <c r="AE43" s="161">
        <f>ROUND(IF(AQ43="7",BI43,0),2)</f>
        <v>0</v>
      </c>
      <c r="AF43" s="161">
        <f>ROUND(IF(AQ43="2",BH43,0),2)</f>
        <v>0</v>
      </c>
      <c r="AG43" s="161">
        <f>ROUND(IF(AQ43="2",BI43,0),2)</f>
        <v>0</v>
      </c>
      <c r="AH43" s="161">
        <f>ROUND(IF(AQ43="0",BJ43,0),2)</f>
        <v>0</v>
      </c>
      <c r="AI43" s="163" t="s">
        <v>53</v>
      </c>
      <c r="AJ43" s="161">
        <f>IF(AN43=0,J43,0)</f>
        <v>0</v>
      </c>
      <c r="AK43" s="161">
        <f>IF(AN43=12,J43,0)</f>
        <v>0</v>
      </c>
      <c r="AL43" s="161">
        <f>IF(AN43=21,J43,0)</f>
        <v>0</v>
      </c>
      <c r="AN43" s="161">
        <v>21</v>
      </c>
      <c r="AO43" s="161">
        <f>G43*1</f>
        <v>0</v>
      </c>
      <c r="AP43" s="161">
        <f>G43*(1-1)</f>
        <v>0</v>
      </c>
      <c r="AQ43" s="162" t="s">
        <v>114</v>
      </c>
      <c r="AV43" s="161">
        <f>ROUND(AW43+AX43,2)</f>
        <v>0</v>
      </c>
      <c r="AW43" s="161">
        <f>ROUND(F43*AO43,2)</f>
        <v>0</v>
      </c>
      <c r="AX43" s="161">
        <f>ROUND(F43*AP43,2)</f>
        <v>0</v>
      </c>
      <c r="AY43" s="162" t="s">
        <v>624</v>
      </c>
      <c r="AZ43" s="162" t="s">
        <v>610</v>
      </c>
      <c r="BA43" s="163" t="s">
        <v>117</v>
      </c>
      <c r="BC43" s="161">
        <f>AW43+AX43</f>
        <v>0</v>
      </c>
      <c r="BD43" s="161">
        <f>G43/(100-BE43)*100</f>
        <v>0</v>
      </c>
      <c r="BE43" s="161">
        <v>0</v>
      </c>
      <c r="BF43" s="161">
        <f>L43</f>
        <v>0</v>
      </c>
      <c r="BH43" s="161">
        <f>F43*AO43</f>
        <v>0</v>
      </c>
      <c r="BI43" s="161">
        <f>F43*AP43</f>
        <v>0</v>
      </c>
      <c r="BJ43" s="161">
        <f>F43*G43</f>
        <v>0</v>
      </c>
      <c r="BK43" s="162" t="s">
        <v>116</v>
      </c>
      <c r="BL43" s="161">
        <v>13</v>
      </c>
      <c r="BW43" s="161">
        <v>21</v>
      </c>
      <c r="BX43" s="160" t="s">
        <v>627</v>
      </c>
    </row>
    <row r="44" spans="1:76" x14ac:dyDescent="0.25">
      <c r="A44" s="168" t="s">
        <v>626</v>
      </c>
      <c r="B44" s="167" t="s">
        <v>625</v>
      </c>
      <c r="C44" s="88" t="s">
        <v>623</v>
      </c>
      <c r="D44" s="87"/>
      <c r="E44" s="167" t="s">
        <v>238</v>
      </c>
      <c r="F44" s="161">
        <v>48.046999999999997</v>
      </c>
      <c r="G44" s="165">
        <v>0</v>
      </c>
      <c r="H44" s="161">
        <f>ROUND(F44*AO44,2)</f>
        <v>0</v>
      </c>
      <c r="I44" s="161">
        <f>ROUND(F44*AP44,2)</f>
        <v>0</v>
      </c>
      <c r="J44" s="161">
        <f>ROUND(F44*G44,2)</f>
        <v>0</v>
      </c>
      <c r="K44" s="161">
        <v>0</v>
      </c>
      <c r="L44" s="161">
        <f>F44*K44</f>
        <v>0</v>
      </c>
      <c r="M44" s="164" t="s">
        <v>121</v>
      </c>
      <c r="Z44" s="161">
        <f>ROUND(IF(AQ44="5",BJ44,0),2)</f>
        <v>0</v>
      </c>
      <c r="AB44" s="161">
        <f>ROUND(IF(AQ44="1",BH44,0),2)</f>
        <v>0</v>
      </c>
      <c r="AC44" s="161">
        <f>ROUND(IF(AQ44="1",BI44,0),2)</f>
        <v>0</v>
      </c>
      <c r="AD44" s="161">
        <f>ROUND(IF(AQ44="7",BH44,0),2)</f>
        <v>0</v>
      </c>
      <c r="AE44" s="161">
        <f>ROUND(IF(AQ44="7",BI44,0),2)</f>
        <v>0</v>
      </c>
      <c r="AF44" s="161">
        <f>ROUND(IF(AQ44="2",BH44,0),2)</f>
        <v>0</v>
      </c>
      <c r="AG44" s="161">
        <f>ROUND(IF(AQ44="2",BI44,0),2)</f>
        <v>0</v>
      </c>
      <c r="AH44" s="161">
        <f>ROUND(IF(AQ44="0",BJ44,0),2)</f>
        <v>0</v>
      </c>
      <c r="AI44" s="163" t="s">
        <v>53</v>
      </c>
      <c r="AJ44" s="161">
        <f>IF(AN44=0,J44,0)</f>
        <v>0</v>
      </c>
      <c r="AK44" s="161">
        <f>IF(AN44=12,J44,0)</f>
        <v>0</v>
      </c>
      <c r="AL44" s="161">
        <f>IF(AN44=21,J44,0)</f>
        <v>0</v>
      </c>
      <c r="AN44" s="161">
        <v>21</v>
      </c>
      <c r="AO44" s="161">
        <f>G44*0</f>
        <v>0</v>
      </c>
      <c r="AP44" s="161">
        <f>G44*(1-0)</f>
        <v>0</v>
      </c>
      <c r="AQ44" s="162" t="s">
        <v>114</v>
      </c>
      <c r="AV44" s="161">
        <f>ROUND(AW44+AX44,2)</f>
        <v>0</v>
      </c>
      <c r="AW44" s="161">
        <f>ROUND(F44*AO44,2)</f>
        <v>0</v>
      </c>
      <c r="AX44" s="161">
        <f>ROUND(F44*AP44,2)</f>
        <v>0</v>
      </c>
      <c r="AY44" s="162" t="s">
        <v>624</v>
      </c>
      <c r="AZ44" s="162" t="s">
        <v>610</v>
      </c>
      <c r="BA44" s="163" t="s">
        <v>117</v>
      </c>
      <c r="BC44" s="161">
        <f>AW44+AX44</f>
        <v>0</v>
      </c>
      <c r="BD44" s="161">
        <f>G44/(100-BE44)*100</f>
        <v>0</v>
      </c>
      <c r="BE44" s="161">
        <v>0</v>
      </c>
      <c r="BF44" s="161">
        <f>L44</f>
        <v>0</v>
      </c>
      <c r="BH44" s="161">
        <f>F44*AO44</f>
        <v>0</v>
      </c>
      <c r="BI44" s="161">
        <f>F44*AP44</f>
        <v>0</v>
      </c>
      <c r="BJ44" s="161">
        <f>F44*G44</f>
        <v>0</v>
      </c>
      <c r="BK44" s="162" t="s">
        <v>116</v>
      </c>
      <c r="BL44" s="161">
        <v>13</v>
      </c>
      <c r="BW44" s="161">
        <v>21</v>
      </c>
      <c r="BX44" s="160" t="s">
        <v>623</v>
      </c>
    </row>
    <row r="45" spans="1:76" x14ac:dyDescent="0.25">
      <c r="A45" s="179"/>
      <c r="C45" s="178" t="s">
        <v>622</v>
      </c>
      <c r="D45" s="178" t="s">
        <v>621</v>
      </c>
      <c r="F45" s="177">
        <v>21.18</v>
      </c>
      <c r="M45" s="176"/>
    </row>
    <row r="46" spans="1:76" x14ac:dyDescent="0.25">
      <c r="A46" s="179"/>
      <c r="C46" s="178" t="s">
        <v>620</v>
      </c>
      <c r="D46" s="178" t="s">
        <v>560</v>
      </c>
      <c r="F46" s="177">
        <v>9.32</v>
      </c>
      <c r="M46" s="176"/>
    </row>
    <row r="47" spans="1:76" x14ac:dyDescent="0.25">
      <c r="A47" s="179"/>
      <c r="C47" s="178" t="s">
        <v>619</v>
      </c>
      <c r="D47" s="178" t="s">
        <v>565</v>
      </c>
      <c r="F47" s="177">
        <v>12.672000000000001</v>
      </c>
      <c r="M47" s="176"/>
    </row>
    <row r="48" spans="1:76" x14ac:dyDescent="0.25">
      <c r="A48" s="179"/>
      <c r="C48" s="178" t="s">
        <v>618</v>
      </c>
      <c r="D48" s="178" t="s">
        <v>565</v>
      </c>
      <c r="F48" s="177">
        <v>1.5840000000000001</v>
      </c>
      <c r="M48" s="176"/>
    </row>
    <row r="49" spans="1:76" x14ac:dyDescent="0.25">
      <c r="A49" s="179"/>
      <c r="C49" s="178" t="s">
        <v>617</v>
      </c>
      <c r="D49" s="178" t="s">
        <v>565</v>
      </c>
      <c r="F49" s="177">
        <v>2.9039999999999999</v>
      </c>
      <c r="M49" s="176"/>
    </row>
    <row r="50" spans="1:76" x14ac:dyDescent="0.25">
      <c r="A50" s="179"/>
      <c r="C50" s="178" t="s">
        <v>616</v>
      </c>
      <c r="D50" s="178" t="s">
        <v>615</v>
      </c>
      <c r="F50" s="177">
        <v>0.38700000000000001</v>
      </c>
      <c r="M50" s="176"/>
    </row>
    <row r="51" spans="1:76" x14ac:dyDescent="0.25">
      <c r="A51" s="175" t="s">
        <v>53</v>
      </c>
      <c r="B51" s="174" t="s">
        <v>571</v>
      </c>
      <c r="C51" s="173" t="s">
        <v>614</v>
      </c>
      <c r="D51" s="172"/>
      <c r="E51" s="171" t="s">
        <v>1</v>
      </c>
      <c r="F51" s="171" t="s">
        <v>1</v>
      </c>
      <c r="G51" s="171" t="s">
        <v>1</v>
      </c>
      <c r="H51" s="169">
        <f>ROUND(SUM(H52:H52),2)</f>
        <v>0</v>
      </c>
      <c r="I51" s="169">
        <f>ROUND(SUM(I52:I52),2)</f>
        <v>0</v>
      </c>
      <c r="J51" s="169">
        <f>ROUND(SUM(J52:J52),2)</f>
        <v>0</v>
      </c>
      <c r="K51" s="163" t="s">
        <v>53</v>
      </c>
      <c r="L51" s="169">
        <f>SUM(L52:L52)</f>
        <v>1.4400000000000001E-3</v>
      </c>
      <c r="M51" s="170" t="s">
        <v>53</v>
      </c>
      <c r="AI51" s="163" t="s">
        <v>53</v>
      </c>
      <c r="AS51" s="169">
        <f>SUM(AJ52:AJ52)</f>
        <v>0</v>
      </c>
      <c r="AT51" s="169">
        <f>SUM(AK52:AK52)</f>
        <v>0</v>
      </c>
      <c r="AU51" s="169">
        <f>SUM(AL52:AL52)</f>
        <v>0</v>
      </c>
    </row>
    <row r="52" spans="1:76" x14ac:dyDescent="0.25">
      <c r="A52" s="168" t="s">
        <v>613</v>
      </c>
      <c r="B52" s="167" t="s">
        <v>612</v>
      </c>
      <c r="C52" s="88" t="s">
        <v>609</v>
      </c>
      <c r="D52" s="87"/>
      <c r="E52" s="167" t="s">
        <v>167</v>
      </c>
      <c r="F52" s="161">
        <v>48</v>
      </c>
      <c r="G52" s="165">
        <v>0</v>
      </c>
      <c r="H52" s="161">
        <f>ROUND(F52*AO52,2)</f>
        <v>0</v>
      </c>
      <c r="I52" s="161">
        <f>ROUND(F52*AP52,2)</f>
        <v>0</v>
      </c>
      <c r="J52" s="161">
        <f>ROUND(F52*G52,2)</f>
        <v>0</v>
      </c>
      <c r="K52" s="161">
        <v>3.0000000000000001E-5</v>
      </c>
      <c r="L52" s="161">
        <f>F52*K52</f>
        <v>1.4400000000000001E-3</v>
      </c>
      <c r="M52" s="164" t="s">
        <v>121</v>
      </c>
      <c r="Z52" s="161">
        <f>ROUND(IF(AQ52="5",BJ52,0),2)</f>
        <v>0</v>
      </c>
      <c r="AB52" s="161">
        <f>ROUND(IF(AQ52="1",BH52,0),2)</f>
        <v>0</v>
      </c>
      <c r="AC52" s="161">
        <f>ROUND(IF(AQ52="1",BI52,0),2)</f>
        <v>0</v>
      </c>
      <c r="AD52" s="161">
        <f>ROUND(IF(AQ52="7",BH52,0),2)</f>
        <v>0</v>
      </c>
      <c r="AE52" s="161">
        <f>ROUND(IF(AQ52="7",BI52,0),2)</f>
        <v>0</v>
      </c>
      <c r="AF52" s="161">
        <f>ROUND(IF(AQ52="2",BH52,0),2)</f>
        <v>0</v>
      </c>
      <c r="AG52" s="161">
        <f>ROUND(IF(AQ52="2",BI52,0),2)</f>
        <v>0</v>
      </c>
      <c r="AH52" s="161">
        <f>ROUND(IF(AQ52="0",BJ52,0),2)</f>
        <v>0</v>
      </c>
      <c r="AI52" s="163" t="s">
        <v>53</v>
      </c>
      <c r="AJ52" s="161">
        <f>IF(AN52=0,J52,0)</f>
        <v>0</v>
      </c>
      <c r="AK52" s="161">
        <f>IF(AN52=12,J52,0)</f>
        <v>0</v>
      </c>
      <c r="AL52" s="161">
        <f>IF(AN52=21,J52,0)</f>
        <v>0</v>
      </c>
      <c r="AN52" s="161">
        <v>21</v>
      </c>
      <c r="AO52" s="161">
        <f>G52*0.045462383</f>
        <v>0</v>
      </c>
      <c r="AP52" s="161">
        <f>G52*(1-0.045462383)</f>
        <v>0</v>
      </c>
      <c r="AQ52" s="162" t="s">
        <v>114</v>
      </c>
      <c r="AV52" s="161">
        <f>ROUND(AW52+AX52,2)</f>
        <v>0</v>
      </c>
      <c r="AW52" s="161">
        <f>ROUND(F52*AO52,2)</f>
        <v>0</v>
      </c>
      <c r="AX52" s="161">
        <f>ROUND(F52*AP52,2)</f>
        <v>0</v>
      </c>
      <c r="AY52" s="162" t="s">
        <v>611</v>
      </c>
      <c r="AZ52" s="162" t="s">
        <v>610</v>
      </c>
      <c r="BA52" s="163" t="s">
        <v>117</v>
      </c>
      <c r="BC52" s="161">
        <f>AW52+AX52</f>
        <v>0</v>
      </c>
      <c r="BD52" s="161">
        <f>G52/(100-BE52)*100</f>
        <v>0</v>
      </c>
      <c r="BE52" s="161">
        <v>0</v>
      </c>
      <c r="BF52" s="161">
        <f>L52</f>
        <v>1.4400000000000001E-3</v>
      </c>
      <c r="BH52" s="161">
        <f>F52*AO52</f>
        <v>0</v>
      </c>
      <c r="BI52" s="161">
        <f>F52*AP52</f>
        <v>0</v>
      </c>
      <c r="BJ52" s="161">
        <f>F52*G52</f>
        <v>0</v>
      </c>
      <c r="BK52" s="162" t="s">
        <v>116</v>
      </c>
      <c r="BL52" s="161">
        <v>18</v>
      </c>
      <c r="BW52" s="161">
        <v>21</v>
      </c>
      <c r="BX52" s="160" t="s">
        <v>609</v>
      </c>
    </row>
    <row r="53" spans="1:76" x14ac:dyDescent="0.25">
      <c r="A53" s="179"/>
      <c r="C53" s="178" t="s">
        <v>608</v>
      </c>
      <c r="D53" s="178" t="s">
        <v>53</v>
      </c>
      <c r="F53" s="177">
        <v>0</v>
      </c>
      <c r="M53" s="176"/>
    </row>
    <row r="54" spans="1:76" x14ac:dyDescent="0.25">
      <c r="A54" s="179"/>
      <c r="C54" s="178" t="s">
        <v>607</v>
      </c>
      <c r="D54" s="178" t="s">
        <v>606</v>
      </c>
      <c r="F54" s="177">
        <v>48</v>
      </c>
      <c r="M54" s="176"/>
    </row>
    <row r="55" spans="1:76" x14ac:dyDescent="0.25">
      <c r="A55" s="175" t="s">
        <v>53</v>
      </c>
      <c r="B55" s="174" t="s">
        <v>552</v>
      </c>
      <c r="C55" s="173" t="s">
        <v>605</v>
      </c>
      <c r="D55" s="172"/>
      <c r="E55" s="171" t="s">
        <v>1</v>
      </c>
      <c r="F55" s="171" t="s">
        <v>1</v>
      </c>
      <c r="G55" s="171" t="s">
        <v>1</v>
      </c>
      <c r="H55" s="169">
        <f>ROUND(SUM(H56:H56),2)</f>
        <v>0</v>
      </c>
      <c r="I55" s="169">
        <f>ROUND(SUM(I56:I56),2)</f>
        <v>0</v>
      </c>
      <c r="J55" s="169">
        <f>ROUND(SUM(J56:J56),2)</f>
        <v>0</v>
      </c>
      <c r="K55" s="163" t="s">
        <v>53</v>
      </c>
      <c r="L55" s="169">
        <f>SUM(L56:L56)</f>
        <v>0</v>
      </c>
      <c r="M55" s="170" t="s">
        <v>53</v>
      </c>
      <c r="AI55" s="163" t="s">
        <v>53</v>
      </c>
      <c r="AS55" s="169">
        <f>SUM(AJ56:AJ56)</f>
        <v>0</v>
      </c>
      <c r="AT55" s="169">
        <f>SUM(AK56:AK56)</f>
        <v>0</v>
      </c>
      <c r="AU55" s="169">
        <f>SUM(AL56:AL56)</f>
        <v>0</v>
      </c>
    </row>
    <row r="56" spans="1:76" x14ac:dyDescent="0.25">
      <c r="A56" s="168" t="s">
        <v>604</v>
      </c>
      <c r="B56" s="167" t="s">
        <v>603</v>
      </c>
      <c r="C56" s="88" t="s">
        <v>601</v>
      </c>
      <c r="D56" s="87"/>
      <c r="E56" s="167" t="s">
        <v>167</v>
      </c>
      <c r="F56" s="161">
        <v>62.2</v>
      </c>
      <c r="G56" s="165">
        <v>0</v>
      </c>
      <c r="H56" s="161">
        <f>ROUND(F56*AO56,2)</f>
        <v>0</v>
      </c>
      <c r="I56" s="161">
        <f>ROUND(F56*AP56,2)</f>
        <v>0</v>
      </c>
      <c r="J56" s="161">
        <f>ROUND(F56*G56,2)</f>
        <v>0</v>
      </c>
      <c r="K56" s="161">
        <v>0</v>
      </c>
      <c r="L56" s="161">
        <f>F56*K56</f>
        <v>0</v>
      </c>
      <c r="M56" s="164" t="s">
        <v>121</v>
      </c>
      <c r="Z56" s="161">
        <f>ROUND(IF(AQ56="5",BJ56,0),2)</f>
        <v>0</v>
      </c>
      <c r="AB56" s="161">
        <f>ROUND(IF(AQ56="1",BH56,0),2)</f>
        <v>0</v>
      </c>
      <c r="AC56" s="161">
        <f>ROUND(IF(AQ56="1",BI56,0),2)</f>
        <v>0</v>
      </c>
      <c r="AD56" s="161">
        <f>ROUND(IF(AQ56="7",BH56,0),2)</f>
        <v>0</v>
      </c>
      <c r="AE56" s="161">
        <f>ROUND(IF(AQ56="7",BI56,0),2)</f>
        <v>0</v>
      </c>
      <c r="AF56" s="161">
        <f>ROUND(IF(AQ56="2",BH56,0),2)</f>
        <v>0</v>
      </c>
      <c r="AG56" s="161">
        <f>ROUND(IF(AQ56="2",BI56,0),2)</f>
        <v>0</v>
      </c>
      <c r="AH56" s="161">
        <f>ROUND(IF(AQ56="0",BJ56,0),2)</f>
        <v>0</v>
      </c>
      <c r="AI56" s="163" t="s">
        <v>53</v>
      </c>
      <c r="AJ56" s="161">
        <f>IF(AN56=0,J56,0)</f>
        <v>0</v>
      </c>
      <c r="AK56" s="161">
        <f>IF(AN56=12,J56,0)</f>
        <v>0</v>
      </c>
      <c r="AL56" s="161">
        <f>IF(AN56=21,J56,0)</f>
        <v>0</v>
      </c>
      <c r="AN56" s="161">
        <v>21</v>
      </c>
      <c r="AO56" s="161">
        <f>G56*0</f>
        <v>0</v>
      </c>
      <c r="AP56" s="161">
        <f>G56*(1-0)</f>
        <v>0</v>
      </c>
      <c r="AQ56" s="162" t="s">
        <v>114</v>
      </c>
      <c r="AV56" s="161">
        <f>ROUND(AW56+AX56,2)</f>
        <v>0</v>
      </c>
      <c r="AW56" s="161">
        <f>ROUND(F56*AO56,2)</f>
        <v>0</v>
      </c>
      <c r="AX56" s="161">
        <f>ROUND(F56*AP56,2)</f>
        <v>0</v>
      </c>
      <c r="AY56" s="162" t="s">
        <v>602</v>
      </c>
      <c r="AZ56" s="162" t="s">
        <v>525</v>
      </c>
      <c r="BA56" s="163" t="s">
        <v>117</v>
      </c>
      <c r="BC56" s="161">
        <f>AW56+AX56</f>
        <v>0</v>
      </c>
      <c r="BD56" s="161">
        <f>G56/(100-BE56)*100</f>
        <v>0</v>
      </c>
      <c r="BE56" s="161">
        <v>0</v>
      </c>
      <c r="BF56" s="161">
        <f>L56</f>
        <v>0</v>
      </c>
      <c r="BH56" s="161">
        <f>F56*AO56</f>
        <v>0</v>
      </c>
      <c r="BI56" s="161">
        <f>F56*AP56</f>
        <v>0</v>
      </c>
      <c r="BJ56" s="161">
        <f>F56*G56</f>
        <v>0</v>
      </c>
      <c r="BK56" s="162" t="s">
        <v>116</v>
      </c>
      <c r="BL56" s="161">
        <v>21</v>
      </c>
      <c r="BW56" s="161">
        <v>21</v>
      </c>
      <c r="BX56" s="160" t="s">
        <v>601</v>
      </c>
    </row>
    <row r="57" spans="1:76" x14ac:dyDescent="0.25">
      <c r="A57" s="179"/>
      <c r="C57" s="178" t="s">
        <v>600</v>
      </c>
      <c r="D57" s="178" t="s">
        <v>53</v>
      </c>
      <c r="F57" s="177">
        <v>0</v>
      </c>
      <c r="M57" s="176"/>
    </row>
    <row r="58" spans="1:76" x14ac:dyDescent="0.25">
      <c r="A58" s="179"/>
      <c r="C58" s="178" t="s">
        <v>599</v>
      </c>
      <c r="D58" s="178" t="s">
        <v>560</v>
      </c>
      <c r="F58" s="177">
        <v>46.6</v>
      </c>
      <c r="M58" s="176"/>
    </row>
    <row r="59" spans="1:76" x14ac:dyDescent="0.25">
      <c r="A59" s="179"/>
      <c r="C59" s="178" t="s">
        <v>593</v>
      </c>
      <c r="D59" s="178" t="s">
        <v>565</v>
      </c>
      <c r="F59" s="177">
        <v>11.52</v>
      </c>
      <c r="M59" s="176"/>
    </row>
    <row r="60" spans="1:76" x14ac:dyDescent="0.25">
      <c r="A60" s="179"/>
      <c r="C60" s="178" t="s">
        <v>592</v>
      </c>
      <c r="D60" s="178" t="s">
        <v>565</v>
      </c>
      <c r="F60" s="177">
        <v>1.44</v>
      </c>
      <c r="M60" s="176"/>
    </row>
    <row r="61" spans="1:76" x14ac:dyDescent="0.25">
      <c r="A61" s="179"/>
      <c r="C61" s="178" t="s">
        <v>591</v>
      </c>
      <c r="D61" s="178" t="s">
        <v>565</v>
      </c>
      <c r="F61" s="177">
        <v>2.64</v>
      </c>
      <c r="M61" s="176"/>
    </row>
    <row r="62" spans="1:76" x14ac:dyDescent="0.25">
      <c r="A62" s="175" t="s">
        <v>53</v>
      </c>
      <c r="B62" s="174" t="s">
        <v>515</v>
      </c>
      <c r="C62" s="173" t="s">
        <v>598</v>
      </c>
      <c r="D62" s="172"/>
      <c r="E62" s="171" t="s">
        <v>1</v>
      </c>
      <c r="F62" s="171" t="s">
        <v>1</v>
      </c>
      <c r="G62" s="171" t="s">
        <v>1</v>
      </c>
      <c r="H62" s="169">
        <f>ROUND(SUM(H63:H113),2)</f>
        <v>0</v>
      </c>
      <c r="I62" s="169">
        <f>ROUND(SUM(I63:I113),2)</f>
        <v>0</v>
      </c>
      <c r="J62" s="169">
        <f>ROUND(SUM(J63:J113),2)</f>
        <v>0</v>
      </c>
      <c r="K62" s="163" t="s">
        <v>53</v>
      </c>
      <c r="L62" s="169">
        <f>SUM(L63:L113)</f>
        <v>75.137793290000005</v>
      </c>
      <c r="M62" s="170" t="s">
        <v>53</v>
      </c>
      <c r="AI62" s="163" t="s">
        <v>53</v>
      </c>
      <c r="AS62" s="169">
        <f>SUM(AJ63:AJ113)</f>
        <v>0</v>
      </c>
      <c r="AT62" s="169">
        <f>SUM(AK63:AK113)</f>
        <v>0</v>
      </c>
      <c r="AU62" s="169">
        <f>SUM(AL63:AL113)</f>
        <v>0</v>
      </c>
    </row>
    <row r="63" spans="1:76" x14ac:dyDescent="0.25">
      <c r="A63" s="168" t="s">
        <v>597</v>
      </c>
      <c r="B63" s="167" t="s">
        <v>596</v>
      </c>
      <c r="C63" s="88" t="s">
        <v>595</v>
      </c>
      <c r="D63" s="87"/>
      <c r="E63" s="167" t="s">
        <v>167</v>
      </c>
      <c r="F63" s="161">
        <v>15.6</v>
      </c>
      <c r="G63" s="165">
        <v>0</v>
      </c>
      <c r="H63" s="161">
        <f>ROUND(F63*AO63,2)</f>
        <v>0</v>
      </c>
      <c r="I63" s="161">
        <f>ROUND(F63*AP63,2)</f>
        <v>0</v>
      </c>
      <c r="J63" s="161">
        <f>ROUND(F63*G63,2)</f>
        <v>0</v>
      </c>
      <c r="K63" s="161">
        <v>0.42</v>
      </c>
      <c r="L63" s="161">
        <f>F63*K63</f>
        <v>6.5519999999999996</v>
      </c>
      <c r="M63" s="164" t="s">
        <v>121</v>
      </c>
      <c r="Z63" s="161">
        <f>ROUND(IF(AQ63="5",BJ63,0),2)</f>
        <v>0</v>
      </c>
      <c r="AB63" s="161">
        <f>ROUND(IF(AQ63="1",BH63,0),2)</f>
        <v>0</v>
      </c>
      <c r="AC63" s="161">
        <f>ROUND(IF(AQ63="1",BI63,0),2)</f>
        <v>0</v>
      </c>
      <c r="AD63" s="161">
        <f>ROUND(IF(AQ63="7",BH63,0),2)</f>
        <v>0</v>
      </c>
      <c r="AE63" s="161">
        <f>ROUND(IF(AQ63="7",BI63,0),2)</f>
        <v>0</v>
      </c>
      <c r="AF63" s="161">
        <f>ROUND(IF(AQ63="2",BH63,0),2)</f>
        <v>0</v>
      </c>
      <c r="AG63" s="161">
        <f>ROUND(IF(AQ63="2",BI63,0),2)</f>
        <v>0</v>
      </c>
      <c r="AH63" s="161">
        <f>ROUND(IF(AQ63="0",BJ63,0),2)</f>
        <v>0</v>
      </c>
      <c r="AI63" s="163" t="s">
        <v>53</v>
      </c>
      <c r="AJ63" s="161">
        <f>IF(AN63=0,J63,0)</f>
        <v>0</v>
      </c>
      <c r="AK63" s="161">
        <f>IF(AN63=12,J63,0)</f>
        <v>0</v>
      </c>
      <c r="AL63" s="161">
        <f>IF(AN63=21,J63,0)</f>
        <v>0</v>
      </c>
      <c r="AN63" s="161">
        <v>21</v>
      </c>
      <c r="AO63" s="161">
        <f>G63*0.303563474</f>
        <v>0</v>
      </c>
      <c r="AP63" s="161">
        <f>G63*(1-0.303563474)</f>
        <v>0</v>
      </c>
      <c r="AQ63" s="162" t="s">
        <v>114</v>
      </c>
      <c r="AV63" s="161">
        <f>ROUND(AW63+AX63,2)</f>
        <v>0</v>
      </c>
      <c r="AW63" s="161">
        <f>ROUND(F63*AO63,2)</f>
        <v>0</v>
      </c>
      <c r="AX63" s="161">
        <f>ROUND(F63*AP63,2)</f>
        <v>0</v>
      </c>
      <c r="AY63" s="162" t="s">
        <v>526</v>
      </c>
      <c r="AZ63" s="162" t="s">
        <v>525</v>
      </c>
      <c r="BA63" s="163" t="s">
        <v>117</v>
      </c>
      <c r="BC63" s="161">
        <f>AW63+AX63</f>
        <v>0</v>
      </c>
      <c r="BD63" s="161">
        <f>G63/(100-BE63)*100</f>
        <v>0</v>
      </c>
      <c r="BE63" s="161">
        <v>0</v>
      </c>
      <c r="BF63" s="161">
        <f>L63</f>
        <v>6.5519999999999996</v>
      </c>
      <c r="BH63" s="161">
        <f>F63*AO63</f>
        <v>0</v>
      </c>
      <c r="BI63" s="161">
        <f>F63*AP63</f>
        <v>0</v>
      </c>
      <c r="BJ63" s="161">
        <f>F63*G63</f>
        <v>0</v>
      </c>
      <c r="BK63" s="162" t="s">
        <v>116</v>
      </c>
      <c r="BL63" s="161">
        <v>27</v>
      </c>
      <c r="BW63" s="161">
        <v>21</v>
      </c>
      <c r="BX63" s="160" t="s">
        <v>595</v>
      </c>
    </row>
    <row r="64" spans="1:76" ht="13.5" customHeight="1" x14ac:dyDescent="0.25">
      <c r="A64" s="179"/>
      <c r="C64" s="184" t="s">
        <v>594</v>
      </c>
      <c r="D64" s="182"/>
      <c r="E64" s="182"/>
      <c r="F64" s="182"/>
      <c r="G64" s="182"/>
      <c r="H64" s="182"/>
      <c r="I64" s="182"/>
      <c r="J64" s="182"/>
      <c r="K64" s="182"/>
      <c r="L64" s="182"/>
      <c r="M64" s="183"/>
    </row>
    <row r="65" spans="1:76" x14ac:dyDescent="0.25">
      <c r="A65" s="179"/>
      <c r="C65" s="178" t="s">
        <v>593</v>
      </c>
      <c r="D65" s="178" t="s">
        <v>565</v>
      </c>
      <c r="F65" s="177">
        <v>11.52</v>
      </c>
      <c r="M65" s="176"/>
    </row>
    <row r="66" spans="1:76" x14ac:dyDescent="0.25">
      <c r="A66" s="179"/>
      <c r="C66" s="178" t="s">
        <v>592</v>
      </c>
      <c r="D66" s="178" t="s">
        <v>565</v>
      </c>
      <c r="F66" s="177">
        <v>1.44</v>
      </c>
      <c r="M66" s="176"/>
    </row>
    <row r="67" spans="1:76" x14ac:dyDescent="0.25">
      <c r="A67" s="179"/>
      <c r="C67" s="178" t="s">
        <v>591</v>
      </c>
      <c r="D67" s="178" t="s">
        <v>565</v>
      </c>
      <c r="F67" s="177">
        <v>2.64</v>
      </c>
      <c r="M67" s="176"/>
    </row>
    <row r="68" spans="1:76" x14ac:dyDescent="0.25">
      <c r="A68" s="168" t="s">
        <v>590</v>
      </c>
      <c r="B68" s="167" t="s">
        <v>589</v>
      </c>
      <c r="C68" s="88" t="s">
        <v>588</v>
      </c>
      <c r="D68" s="87"/>
      <c r="E68" s="167" t="s">
        <v>167</v>
      </c>
      <c r="F68" s="161">
        <v>15.4</v>
      </c>
      <c r="G68" s="165">
        <v>0</v>
      </c>
      <c r="H68" s="161">
        <f>ROUND(F68*AO68,2)</f>
        <v>0</v>
      </c>
      <c r="I68" s="161">
        <f>ROUND(F68*AP68,2)</f>
        <v>0</v>
      </c>
      <c r="J68" s="161">
        <f>ROUND(F68*G68,2)</f>
        <v>0</v>
      </c>
      <c r="K68" s="161">
        <v>1.9000000000000001E-4</v>
      </c>
      <c r="L68" s="161">
        <f>F68*K68</f>
        <v>2.9260000000000002E-3</v>
      </c>
      <c r="M68" s="164" t="s">
        <v>121</v>
      </c>
      <c r="Z68" s="161">
        <f>ROUND(IF(AQ68="5",BJ68,0),2)</f>
        <v>0</v>
      </c>
      <c r="AB68" s="161">
        <f>ROUND(IF(AQ68="1",BH68,0),2)</f>
        <v>0</v>
      </c>
      <c r="AC68" s="161">
        <f>ROUND(IF(AQ68="1",BI68,0),2)</f>
        <v>0</v>
      </c>
      <c r="AD68" s="161">
        <f>ROUND(IF(AQ68="7",BH68,0),2)</f>
        <v>0</v>
      </c>
      <c r="AE68" s="161">
        <f>ROUND(IF(AQ68="7",BI68,0),2)</f>
        <v>0</v>
      </c>
      <c r="AF68" s="161">
        <f>ROUND(IF(AQ68="2",BH68,0),2)</f>
        <v>0</v>
      </c>
      <c r="AG68" s="161">
        <f>ROUND(IF(AQ68="2",BI68,0),2)</f>
        <v>0</v>
      </c>
      <c r="AH68" s="161">
        <f>ROUND(IF(AQ68="0",BJ68,0),2)</f>
        <v>0</v>
      </c>
      <c r="AI68" s="163" t="s">
        <v>53</v>
      </c>
      <c r="AJ68" s="161">
        <f>IF(AN68=0,J68,0)</f>
        <v>0</v>
      </c>
      <c r="AK68" s="161">
        <f>IF(AN68=12,J68,0)</f>
        <v>0</v>
      </c>
      <c r="AL68" s="161">
        <f>IF(AN68=21,J68,0)</f>
        <v>0</v>
      </c>
      <c r="AN68" s="161">
        <v>21</v>
      </c>
      <c r="AO68" s="161">
        <f>G68*0.032953583</f>
        <v>0</v>
      </c>
      <c r="AP68" s="161">
        <f>G68*(1-0.032953583)</f>
        <v>0</v>
      </c>
      <c r="AQ68" s="162" t="s">
        <v>114</v>
      </c>
      <c r="AV68" s="161">
        <f>ROUND(AW68+AX68,2)</f>
        <v>0</v>
      </c>
      <c r="AW68" s="161">
        <f>ROUND(F68*AO68,2)</f>
        <v>0</v>
      </c>
      <c r="AX68" s="161">
        <f>ROUND(F68*AP68,2)</f>
        <v>0</v>
      </c>
      <c r="AY68" s="162" t="s">
        <v>526</v>
      </c>
      <c r="AZ68" s="162" t="s">
        <v>525</v>
      </c>
      <c r="BA68" s="163" t="s">
        <v>117</v>
      </c>
      <c r="BC68" s="161">
        <f>AW68+AX68</f>
        <v>0</v>
      </c>
      <c r="BD68" s="161">
        <f>G68/(100-BE68)*100</f>
        <v>0</v>
      </c>
      <c r="BE68" s="161">
        <v>0</v>
      </c>
      <c r="BF68" s="161">
        <f>L68</f>
        <v>2.9260000000000002E-3</v>
      </c>
      <c r="BH68" s="161">
        <f>F68*AO68</f>
        <v>0</v>
      </c>
      <c r="BI68" s="161">
        <f>F68*AP68</f>
        <v>0</v>
      </c>
      <c r="BJ68" s="161">
        <f>F68*G68</f>
        <v>0</v>
      </c>
      <c r="BK68" s="162" t="s">
        <v>116</v>
      </c>
      <c r="BL68" s="161">
        <v>27</v>
      </c>
      <c r="BW68" s="161">
        <v>21</v>
      </c>
      <c r="BX68" s="160" t="s">
        <v>588</v>
      </c>
    </row>
    <row r="69" spans="1:76" x14ac:dyDescent="0.25">
      <c r="A69" s="179"/>
      <c r="C69" s="178" t="s">
        <v>584</v>
      </c>
      <c r="D69" s="178" t="s">
        <v>565</v>
      </c>
      <c r="F69" s="177">
        <v>11.52</v>
      </c>
      <c r="M69" s="176"/>
    </row>
    <row r="70" spans="1:76" x14ac:dyDescent="0.25">
      <c r="A70" s="179"/>
      <c r="C70" s="178" t="s">
        <v>583</v>
      </c>
      <c r="D70" s="178" t="s">
        <v>565</v>
      </c>
      <c r="F70" s="177">
        <v>1.92</v>
      </c>
      <c r="M70" s="176"/>
    </row>
    <row r="71" spans="1:76" x14ac:dyDescent="0.25">
      <c r="A71" s="179"/>
      <c r="C71" s="178" t="s">
        <v>582</v>
      </c>
      <c r="D71" s="178" t="s">
        <v>565</v>
      </c>
      <c r="F71" s="177">
        <v>1.96</v>
      </c>
      <c r="M71" s="176"/>
    </row>
    <row r="72" spans="1:76" x14ac:dyDescent="0.25">
      <c r="A72" s="168" t="s">
        <v>587</v>
      </c>
      <c r="B72" s="167" t="s">
        <v>586</v>
      </c>
      <c r="C72" s="88" t="s">
        <v>585</v>
      </c>
      <c r="D72" s="87"/>
      <c r="E72" s="167" t="s">
        <v>167</v>
      </c>
      <c r="F72" s="161">
        <v>15.4</v>
      </c>
      <c r="G72" s="165">
        <v>0</v>
      </c>
      <c r="H72" s="161">
        <f>ROUND(F72*AO72,2)</f>
        <v>0</v>
      </c>
      <c r="I72" s="161">
        <f>ROUND(F72*AP72,2)</f>
        <v>0</v>
      </c>
      <c r="J72" s="161">
        <f>ROUND(F72*G72,2)</f>
        <v>0</v>
      </c>
      <c r="K72" s="161">
        <v>0</v>
      </c>
      <c r="L72" s="161">
        <f>F72*K72</f>
        <v>0</v>
      </c>
      <c r="M72" s="164" t="s">
        <v>121</v>
      </c>
      <c r="Z72" s="161">
        <f>ROUND(IF(AQ72="5",BJ72,0),2)</f>
        <v>0</v>
      </c>
      <c r="AB72" s="161">
        <f>ROUND(IF(AQ72="1",BH72,0),2)</f>
        <v>0</v>
      </c>
      <c r="AC72" s="161">
        <f>ROUND(IF(AQ72="1",BI72,0),2)</f>
        <v>0</v>
      </c>
      <c r="AD72" s="161">
        <f>ROUND(IF(AQ72="7",BH72,0),2)</f>
        <v>0</v>
      </c>
      <c r="AE72" s="161">
        <f>ROUND(IF(AQ72="7",BI72,0),2)</f>
        <v>0</v>
      </c>
      <c r="AF72" s="161">
        <f>ROUND(IF(AQ72="2",BH72,0),2)</f>
        <v>0</v>
      </c>
      <c r="AG72" s="161">
        <f>ROUND(IF(AQ72="2",BI72,0),2)</f>
        <v>0</v>
      </c>
      <c r="AH72" s="161">
        <f>ROUND(IF(AQ72="0",BJ72,0),2)</f>
        <v>0</v>
      </c>
      <c r="AI72" s="163" t="s">
        <v>53</v>
      </c>
      <c r="AJ72" s="161">
        <f>IF(AN72=0,J72,0)</f>
        <v>0</v>
      </c>
      <c r="AK72" s="161">
        <f>IF(AN72=12,J72,0)</f>
        <v>0</v>
      </c>
      <c r="AL72" s="161">
        <f>IF(AN72=21,J72,0)</f>
        <v>0</v>
      </c>
      <c r="AN72" s="161">
        <v>21</v>
      </c>
      <c r="AO72" s="161">
        <f>G72*0</f>
        <v>0</v>
      </c>
      <c r="AP72" s="161">
        <f>G72*(1-0)</f>
        <v>0</v>
      </c>
      <c r="AQ72" s="162" t="s">
        <v>114</v>
      </c>
      <c r="AV72" s="161">
        <f>ROUND(AW72+AX72,2)</f>
        <v>0</v>
      </c>
      <c r="AW72" s="161">
        <f>ROUND(F72*AO72,2)</f>
        <v>0</v>
      </c>
      <c r="AX72" s="161">
        <f>ROUND(F72*AP72,2)</f>
        <v>0</v>
      </c>
      <c r="AY72" s="162" t="s">
        <v>526</v>
      </c>
      <c r="AZ72" s="162" t="s">
        <v>525</v>
      </c>
      <c r="BA72" s="163" t="s">
        <v>117</v>
      </c>
      <c r="BC72" s="161">
        <f>AW72+AX72</f>
        <v>0</v>
      </c>
      <c r="BD72" s="161">
        <f>G72/(100-BE72)*100</f>
        <v>0</v>
      </c>
      <c r="BE72" s="161">
        <v>0</v>
      </c>
      <c r="BF72" s="161">
        <f>L72</f>
        <v>0</v>
      </c>
      <c r="BH72" s="161">
        <f>F72*AO72</f>
        <v>0</v>
      </c>
      <c r="BI72" s="161">
        <f>F72*AP72</f>
        <v>0</v>
      </c>
      <c r="BJ72" s="161">
        <f>F72*G72</f>
        <v>0</v>
      </c>
      <c r="BK72" s="162" t="s">
        <v>116</v>
      </c>
      <c r="BL72" s="161">
        <v>27</v>
      </c>
      <c r="BW72" s="161">
        <v>21</v>
      </c>
      <c r="BX72" s="160" t="s">
        <v>585</v>
      </c>
    </row>
    <row r="73" spans="1:76" x14ac:dyDescent="0.25">
      <c r="A73" s="179"/>
      <c r="C73" s="178" t="s">
        <v>584</v>
      </c>
      <c r="D73" s="178" t="s">
        <v>565</v>
      </c>
      <c r="F73" s="177">
        <v>11.52</v>
      </c>
      <c r="M73" s="176"/>
    </row>
    <row r="74" spans="1:76" x14ac:dyDescent="0.25">
      <c r="A74" s="179"/>
      <c r="C74" s="178" t="s">
        <v>583</v>
      </c>
      <c r="D74" s="178" t="s">
        <v>565</v>
      </c>
      <c r="F74" s="177">
        <v>1.92</v>
      </c>
      <c r="M74" s="176"/>
    </row>
    <row r="75" spans="1:76" x14ac:dyDescent="0.25">
      <c r="A75" s="179"/>
      <c r="C75" s="178" t="s">
        <v>582</v>
      </c>
      <c r="D75" s="178" t="s">
        <v>565</v>
      </c>
      <c r="F75" s="177">
        <v>1.96</v>
      </c>
      <c r="M75" s="176"/>
    </row>
    <row r="76" spans="1:76" x14ac:dyDescent="0.25">
      <c r="A76" s="168" t="s">
        <v>457</v>
      </c>
      <c r="B76" s="167" t="s">
        <v>581</v>
      </c>
      <c r="C76" s="88" t="s">
        <v>580</v>
      </c>
      <c r="D76" s="87"/>
      <c r="E76" s="167" t="s">
        <v>206</v>
      </c>
      <c r="F76" s="161">
        <v>0.50700000000000001</v>
      </c>
      <c r="G76" s="165">
        <v>0</v>
      </c>
      <c r="H76" s="161">
        <f>ROUND(F76*AO76,2)</f>
        <v>0</v>
      </c>
      <c r="I76" s="161">
        <f>ROUND(F76*AP76,2)</f>
        <v>0</v>
      </c>
      <c r="J76" s="161">
        <f>ROUND(F76*G76,2)</f>
        <v>0</v>
      </c>
      <c r="K76" s="161">
        <v>1.0717399999999999</v>
      </c>
      <c r="L76" s="161">
        <f>F76*K76</f>
        <v>0.54337217999999998</v>
      </c>
      <c r="M76" s="164" t="s">
        <v>121</v>
      </c>
      <c r="Z76" s="161">
        <f>ROUND(IF(AQ76="5",BJ76,0),2)</f>
        <v>0</v>
      </c>
      <c r="AB76" s="161">
        <f>ROUND(IF(AQ76="1",BH76,0),2)</f>
        <v>0</v>
      </c>
      <c r="AC76" s="161">
        <f>ROUND(IF(AQ76="1",BI76,0),2)</f>
        <v>0</v>
      </c>
      <c r="AD76" s="161">
        <f>ROUND(IF(AQ76="7",BH76,0),2)</f>
        <v>0</v>
      </c>
      <c r="AE76" s="161">
        <f>ROUND(IF(AQ76="7",BI76,0),2)</f>
        <v>0</v>
      </c>
      <c r="AF76" s="161">
        <f>ROUND(IF(AQ76="2",BH76,0),2)</f>
        <v>0</v>
      </c>
      <c r="AG76" s="161">
        <f>ROUND(IF(AQ76="2",BI76,0),2)</f>
        <v>0</v>
      </c>
      <c r="AH76" s="161">
        <f>ROUND(IF(AQ76="0",BJ76,0),2)</f>
        <v>0</v>
      </c>
      <c r="AI76" s="163" t="s">
        <v>53</v>
      </c>
      <c r="AJ76" s="161">
        <f>IF(AN76=0,J76,0)</f>
        <v>0</v>
      </c>
      <c r="AK76" s="161">
        <f>IF(AN76=12,J76,0)</f>
        <v>0</v>
      </c>
      <c r="AL76" s="161">
        <f>IF(AN76=21,J76,0)</f>
        <v>0</v>
      </c>
      <c r="AN76" s="161">
        <v>21</v>
      </c>
      <c r="AO76" s="161">
        <f>G76*0.763548631</f>
        <v>0</v>
      </c>
      <c r="AP76" s="161">
        <f>G76*(1-0.763548631)</f>
        <v>0</v>
      </c>
      <c r="AQ76" s="162" t="s">
        <v>114</v>
      </c>
      <c r="AV76" s="161">
        <f>ROUND(AW76+AX76,2)</f>
        <v>0</v>
      </c>
      <c r="AW76" s="161">
        <f>ROUND(F76*AO76,2)</f>
        <v>0</v>
      </c>
      <c r="AX76" s="161">
        <f>ROUND(F76*AP76,2)</f>
        <v>0</v>
      </c>
      <c r="AY76" s="162" t="s">
        <v>526</v>
      </c>
      <c r="AZ76" s="162" t="s">
        <v>525</v>
      </c>
      <c r="BA76" s="163" t="s">
        <v>117</v>
      </c>
      <c r="BC76" s="161">
        <f>AW76+AX76</f>
        <v>0</v>
      </c>
      <c r="BD76" s="161">
        <f>G76/(100-BE76)*100</f>
        <v>0</v>
      </c>
      <c r="BE76" s="161">
        <v>0</v>
      </c>
      <c r="BF76" s="161">
        <f>L76</f>
        <v>0.54337217999999998</v>
      </c>
      <c r="BH76" s="161">
        <f>F76*AO76</f>
        <v>0</v>
      </c>
      <c r="BI76" s="161">
        <f>F76*AP76</f>
        <v>0</v>
      </c>
      <c r="BJ76" s="161">
        <f>F76*G76</f>
        <v>0</v>
      </c>
      <c r="BK76" s="162" t="s">
        <v>116</v>
      </c>
      <c r="BL76" s="161">
        <v>27</v>
      </c>
      <c r="BW76" s="161">
        <v>21</v>
      </c>
      <c r="BX76" s="160" t="s">
        <v>580</v>
      </c>
    </row>
    <row r="77" spans="1:76" ht="13.5" customHeight="1" x14ac:dyDescent="0.25">
      <c r="A77" s="179"/>
      <c r="C77" s="184" t="s">
        <v>579</v>
      </c>
      <c r="D77" s="182"/>
      <c r="E77" s="182"/>
      <c r="F77" s="182"/>
      <c r="G77" s="182"/>
      <c r="H77" s="182"/>
      <c r="I77" s="182"/>
      <c r="J77" s="182"/>
      <c r="K77" s="182"/>
      <c r="L77" s="182"/>
      <c r="M77" s="183"/>
    </row>
    <row r="78" spans="1:76" x14ac:dyDescent="0.25">
      <c r="A78" s="179"/>
      <c r="C78" s="178" t="s">
        <v>578</v>
      </c>
      <c r="D78" s="178" t="s">
        <v>565</v>
      </c>
      <c r="F78" s="177">
        <v>0.376</v>
      </c>
      <c r="M78" s="176"/>
    </row>
    <row r="79" spans="1:76" x14ac:dyDescent="0.25">
      <c r="A79" s="179"/>
      <c r="C79" s="178" t="s">
        <v>577</v>
      </c>
      <c r="D79" s="178" t="s">
        <v>565</v>
      </c>
      <c r="F79" s="177">
        <v>5.3999999999999999E-2</v>
      </c>
      <c r="M79" s="176"/>
    </row>
    <row r="80" spans="1:76" x14ac:dyDescent="0.25">
      <c r="A80" s="179"/>
      <c r="C80" s="178" t="s">
        <v>576</v>
      </c>
      <c r="D80" s="178" t="s">
        <v>565</v>
      </c>
      <c r="F80" s="177">
        <v>7.6999999999999999E-2</v>
      </c>
      <c r="M80" s="176"/>
    </row>
    <row r="81" spans="1:76" x14ac:dyDescent="0.25">
      <c r="A81" s="168" t="s">
        <v>575</v>
      </c>
      <c r="B81" s="167" t="s">
        <v>574</v>
      </c>
      <c r="C81" s="88" t="s">
        <v>573</v>
      </c>
      <c r="D81" s="87"/>
      <c r="E81" s="167" t="s">
        <v>238</v>
      </c>
      <c r="F81" s="161">
        <v>7.34</v>
      </c>
      <c r="G81" s="165">
        <v>0</v>
      </c>
      <c r="H81" s="161">
        <f>ROUND(F81*AO81,2)</f>
        <v>0</v>
      </c>
      <c r="I81" s="161">
        <f>ROUND(F81*AP81,2)</f>
        <v>0</v>
      </c>
      <c r="J81" s="161">
        <f>ROUND(F81*G81,2)</f>
        <v>0</v>
      </c>
      <c r="K81" s="161">
        <v>2.5249999999999999</v>
      </c>
      <c r="L81" s="161">
        <f>F81*K81</f>
        <v>18.5335</v>
      </c>
      <c r="M81" s="164" t="s">
        <v>121</v>
      </c>
      <c r="Z81" s="161">
        <f>ROUND(IF(AQ81="5",BJ81,0),2)</f>
        <v>0</v>
      </c>
      <c r="AB81" s="161">
        <f>ROUND(IF(AQ81="1",BH81,0),2)</f>
        <v>0</v>
      </c>
      <c r="AC81" s="161">
        <f>ROUND(IF(AQ81="1",BI81,0),2)</f>
        <v>0</v>
      </c>
      <c r="AD81" s="161">
        <f>ROUND(IF(AQ81="7",BH81,0),2)</f>
        <v>0</v>
      </c>
      <c r="AE81" s="161">
        <f>ROUND(IF(AQ81="7",BI81,0),2)</f>
        <v>0</v>
      </c>
      <c r="AF81" s="161">
        <f>ROUND(IF(AQ81="2",BH81,0),2)</f>
        <v>0</v>
      </c>
      <c r="AG81" s="161">
        <f>ROUND(IF(AQ81="2",BI81,0),2)</f>
        <v>0</v>
      </c>
      <c r="AH81" s="161">
        <f>ROUND(IF(AQ81="0",BJ81,0),2)</f>
        <v>0</v>
      </c>
      <c r="AI81" s="163" t="s">
        <v>53</v>
      </c>
      <c r="AJ81" s="161">
        <f>IF(AN81=0,J81,0)</f>
        <v>0</v>
      </c>
      <c r="AK81" s="161">
        <f>IF(AN81=12,J81,0)</f>
        <v>0</v>
      </c>
      <c r="AL81" s="161">
        <f>IF(AN81=21,J81,0)</f>
        <v>0</v>
      </c>
      <c r="AN81" s="161">
        <v>21</v>
      </c>
      <c r="AO81" s="161">
        <f>G81*0.906923573</f>
        <v>0</v>
      </c>
      <c r="AP81" s="161">
        <f>G81*(1-0.906923573)</f>
        <v>0</v>
      </c>
      <c r="AQ81" s="162" t="s">
        <v>114</v>
      </c>
      <c r="AV81" s="161">
        <f>ROUND(AW81+AX81,2)</f>
        <v>0</v>
      </c>
      <c r="AW81" s="161">
        <f>ROUND(F81*AO81,2)</f>
        <v>0</v>
      </c>
      <c r="AX81" s="161">
        <f>ROUND(F81*AP81,2)</f>
        <v>0</v>
      </c>
      <c r="AY81" s="162" t="s">
        <v>526</v>
      </c>
      <c r="AZ81" s="162" t="s">
        <v>525</v>
      </c>
      <c r="BA81" s="163" t="s">
        <v>117</v>
      </c>
      <c r="BC81" s="161">
        <f>AW81+AX81</f>
        <v>0</v>
      </c>
      <c r="BD81" s="161">
        <f>G81/(100-BE81)*100</f>
        <v>0</v>
      </c>
      <c r="BE81" s="161">
        <v>0</v>
      </c>
      <c r="BF81" s="161">
        <f>L81</f>
        <v>18.5335</v>
      </c>
      <c r="BH81" s="161">
        <f>F81*AO81</f>
        <v>0</v>
      </c>
      <c r="BI81" s="161">
        <f>F81*AP81</f>
        <v>0</v>
      </c>
      <c r="BJ81" s="161">
        <f>F81*G81</f>
        <v>0</v>
      </c>
      <c r="BK81" s="162" t="s">
        <v>116</v>
      </c>
      <c r="BL81" s="161">
        <v>27</v>
      </c>
      <c r="BW81" s="161">
        <v>21</v>
      </c>
      <c r="BX81" s="160" t="s">
        <v>573</v>
      </c>
    </row>
    <row r="82" spans="1:76" x14ac:dyDescent="0.25">
      <c r="A82" s="179"/>
      <c r="C82" s="178" t="s">
        <v>572</v>
      </c>
      <c r="D82" s="178" t="s">
        <v>560</v>
      </c>
      <c r="F82" s="177">
        <v>7.34</v>
      </c>
      <c r="M82" s="176"/>
    </row>
    <row r="83" spans="1:76" x14ac:dyDescent="0.25">
      <c r="A83" s="168" t="s">
        <v>571</v>
      </c>
      <c r="B83" s="167" t="s">
        <v>570</v>
      </c>
      <c r="C83" s="88" t="s">
        <v>569</v>
      </c>
      <c r="D83" s="87"/>
      <c r="E83" s="167" t="s">
        <v>238</v>
      </c>
      <c r="F83" s="161">
        <v>13.105</v>
      </c>
      <c r="G83" s="165">
        <v>0</v>
      </c>
      <c r="H83" s="161">
        <f>ROUND(F83*AO83,2)</f>
        <v>0</v>
      </c>
      <c r="I83" s="161">
        <f>ROUND(F83*AP83,2)</f>
        <v>0</v>
      </c>
      <c r="J83" s="161">
        <f>ROUND(F83*G83,2)</f>
        <v>0</v>
      </c>
      <c r="K83" s="161">
        <v>2.5249999999999999</v>
      </c>
      <c r="L83" s="161">
        <f>F83*K83</f>
        <v>33.090125</v>
      </c>
      <c r="M83" s="164" t="s">
        <v>121</v>
      </c>
      <c r="Z83" s="161">
        <f>ROUND(IF(AQ83="5",BJ83,0),2)</f>
        <v>0</v>
      </c>
      <c r="AB83" s="161">
        <f>ROUND(IF(AQ83="1",BH83,0),2)</f>
        <v>0</v>
      </c>
      <c r="AC83" s="161">
        <f>ROUND(IF(AQ83="1",BI83,0),2)</f>
        <v>0</v>
      </c>
      <c r="AD83" s="161">
        <f>ROUND(IF(AQ83="7",BH83,0),2)</f>
        <v>0</v>
      </c>
      <c r="AE83" s="161">
        <f>ROUND(IF(AQ83="7",BI83,0),2)</f>
        <v>0</v>
      </c>
      <c r="AF83" s="161">
        <f>ROUND(IF(AQ83="2",BH83,0),2)</f>
        <v>0</v>
      </c>
      <c r="AG83" s="161">
        <f>ROUND(IF(AQ83="2",BI83,0),2)</f>
        <v>0</v>
      </c>
      <c r="AH83" s="161">
        <f>ROUND(IF(AQ83="0",BJ83,0),2)</f>
        <v>0</v>
      </c>
      <c r="AI83" s="163" t="s">
        <v>53</v>
      </c>
      <c r="AJ83" s="161">
        <f>IF(AN83=0,J83,0)</f>
        <v>0</v>
      </c>
      <c r="AK83" s="161">
        <f>IF(AN83=12,J83,0)</f>
        <v>0</v>
      </c>
      <c r="AL83" s="161">
        <f>IF(AN83=21,J83,0)</f>
        <v>0</v>
      </c>
      <c r="AN83" s="161">
        <v>21</v>
      </c>
      <c r="AO83" s="161">
        <f>G83*0.906923466</f>
        <v>0</v>
      </c>
      <c r="AP83" s="161">
        <f>G83*(1-0.906923466)</f>
        <v>0</v>
      </c>
      <c r="AQ83" s="162" t="s">
        <v>114</v>
      </c>
      <c r="AV83" s="161">
        <f>ROUND(AW83+AX83,2)</f>
        <v>0</v>
      </c>
      <c r="AW83" s="161">
        <f>ROUND(F83*AO83,2)</f>
        <v>0</v>
      </c>
      <c r="AX83" s="161">
        <f>ROUND(F83*AP83,2)</f>
        <v>0</v>
      </c>
      <c r="AY83" s="162" t="s">
        <v>526</v>
      </c>
      <c r="AZ83" s="162" t="s">
        <v>525</v>
      </c>
      <c r="BA83" s="163" t="s">
        <v>117</v>
      </c>
      <c r="BC83" s="161">
        <f>AW83+AX83</f>
        <v>0</v>
      </c>
      <c r="BD83" s="161">
        <f>G83/(100-BE83)*100</f>
        <v>0</v>
      </c>
      <c r="BE83" s="161">
        <v>0</v>
      </c>
      <c r="BF83" s="161">
        <f>L83</f>
        <v>33.090125</v>
      </c>
      <c r="BH83" s="161">
        <f>F83*AO83</f>
        <v>0</v>
      </c>
      <c r="BI83" s="161">
        <f>F83*AP83</f>
        <v>0</v>
      </c>
      <c r="BJ83" s="161">
        <f>F83*G83</f>
        <v>0</v>
      </c>
      <c r="BK83" s="162" t="s">
        <v>116</v>
      </c>
      <c r="BL83" s="161">
        <v>27</v>
      </c>
      <c r="BW83" s="161">
        <v>21</v>
      </c>
      <c r="BX83" s="160" t="s">
        <v>569</v>
      </c>
    </row>
    <row r="84" spans="1:76" x14ac:dyDescent="0.25">
      <c r="A84" s="179"/>
      <c r="C84" s="178" t="s">
        <v>568</v>
      </c>
      <c r="D84" s="178" t="s">
        <v>565</v>
      </c>
      <c r="F84" s="177">
        <v>9.6769999999999996</v>
      </c>
      <c r="M84" s="176"/>
    </row>
    <row r="85" spans="1:76" x14ac:dyDescent="0.25">
      <c r="A85" s="179"/>
      <c r="C85" s="178" t="s">
        <v>567</v>
      </c>
      <c r="D85" s="178" t="s">
        <v>565</v>
      </c>
      <c r="F85" s="177">
        <v>1.21</v>
      </c>
      <c r="M85" s="176"/>
    </row>
    <row r="86" spans="1:76" x14ac:dyDescent="0.25">
      <c r="A86" s="179"/>
      <c r="C86" s="178" t="s">
        <v>566</v>
      </c>
      <c r="D86" s="178" t="s">
        <v>565</v>
      </c>
      <c r="F86" s="177">
        <v>2.218</v>
      </c>
      <c r="M86" s="176"/>
    </row>
    <row r="87" spans="1:76" x14ac:dyDescent="0.25">
      <c r="A87" s="168" t="s">
        <v>564</v>
      </c>
      <c r="B87" s="167" t="s">
        <v>563</v>
      </c>
      <c r="C87" s="88" t="s">
        <v>562</v>
      </c>
      <c r="D87" s="87"/>
      <c r="E87" s="167" t="s">
        <v>206</v>
      </c>
      <c r="F87" s="161">
        <v>0.34699999999999998</v>
      </c>
      <c r="G87" s="165">
        <v>0</v>
      </c>
      <c r="H87" s="161">
        <f>ROUND(F87*AO87,2)</f>
        <v>0</v>
      </c>
      <c r="I87" s="161">
        <f>ROUND(F87*AP87,2)</f>
        <v>0</v>
      </c>
      <c r="J87" s="161">
        <f>ROUND(F87*G87,2)</f>
        <v>0</v>
      </c>
      <c r="K87" s="161">
        <v>1.0718099999999999</v>
      </c>
      <c r="L87" s="161">
        <f>F87*K87</f>
        <v>0.37191806999999993</v>
      </c>
      <c r="M87" s="164" t="s">
        <v>121</v>
      </c>
      <c r="Z87" s="161">
        <f>ROUND(IF(AQ87="5",BJ87,0),2)</f>
        <v>0</v>
      </c>
      <c r="AB87" s="161">
        <f>ROUND(IF(AQ87="1",BH87,0),2)</f>
        <v>0</v>
      </c>
      <c r="AC87" s="161">
        <f>ROUND(IF(AQ87="1",BI87,0),2)</f>
        <v>0</v>
      </c>
      <c r="AD87" s="161">
        <f>ROUND(IF(AQ87="7",BH87,0),2)</f>
        <v>0</v>
      </c>
      <c r="AE87" s="161">
        <f>ROUND(IF(AQ87="7",BI87,0),2)</f>
        <v>0</v>
      </c>
      <c r="AF87" s="161">
        <f>ROUND(IF(AQ87="2",BH87,0),2)</f>
        <v>0</v>
      </c>
      <c r="AG87" s="161">
        <f>ROUND(IF(AQ87="2",BI87,0),2)</f>
        <v>0</v>
      </c>
      <c r="AH87" s="161">
        <f>ROUND(IF(AQ87="0",BJ87,0),2)</f>
        <v>0</v>
      </c>
      <c r="AI87" s="163" t="s">
        <v>53</v>
      </c>
      <c r="AJ87" s="161">
        <f>IF(AN87=0,J87,0)</f>
        <v>0</v>
      </c>
      <c r="AK87" s="161">
        <f>IF(AN87=12,J87,0)</f>
        <v>0</v>
      </c>
      <c r="AL87" s="161">
        <f>IF(AN87=21,J87,0)</f>
        <v>0</v>
      </c>
      <c r="AN87" s="161">
        <v>21</v>
      </c>
      <c r="AO87" s="161">
        <f>G87*0.773323752</f>
        <v>0</v>
      </c>
      <c r="AP87" s="161">
        <f>G87*(1-0.773323752)</f>
        <v>0</v>
      </c>
      <c r="AQ87" s="162" t="s">
        <v>114</v>
      </c>
      <c r="AV87" s="161">
        <f>ROUND(AW87+AX87,2)</f>
        <v>0</v>
      </c>
      <c r="AW87" s="161">
        <f>ROUND(F87*AO87,2)</f>
        <v>0</v>
      </c>
      <c r="AX87" s="161">
        <f>ROUND(F87*AP87,2)</f>
        <v>0</v>
      </c>
      <c r="AY87" s="162" t="s">
        <v>526</v>
      </c>
      <c r="AZ87" s="162" t="s">
        <v>525</v>
      </c>
      <c r="BA87" s="163" t="s">
        <v>117</v>
      </c>
      <c r="BC87" s="161">
        <f>AW87+AX87</f>
        <v>0</v>
      </c>
      <c r="BD87" s="161">
        <f>G87/(100-BE87)*100</f>
        <v>0</v>
      </c>
      <c r="BE87" s="161">
        <v>0</v>
      </c>
      <c r="BF87" s="161">
        <f>L87</f>
        <v>0.37191806999999993</v>
      </c>
      <c r="BH87" s="161">
        <f>F87*AO87</f>
        <v>0</v>
      </c>
      <c r="BI87" s="161">
        <f>F87*AP87</f>
        <v>0</v>
      </c>
      <c r="BJ87" s="161">
        <f>F87*G87</f>
        <v>0</v>
      </c>
      <c r="BK87" s="162" t="s">
        <v>116</v>
      </c>
      <c r="BL87" s="161">
        <v>27</v>
      </c>
      <c r="BW87" s="161">
        <v>21</v>
      </c>
      <c r="BX87" s="160" t="s">
        <v>562</v>
      </c>
    </row>
    <row r="88" spans="1:76" ht="13.5" customHeight="1" x14ac:dyDescent="0.25">
      <c r="A88" s="179"/>
      <c r="C88" s="184" t="s">
        <v>549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3"/>
    </row>
    <row r="89" spans="1:76" x14ac:dyDescent="0.25">
      <c r="A89" s="179"/>
      <c r="C89" s="178" t="s">
        <v>561</v>
      </c>
      <c r="D89" s="178" t="s">
        <v>560</v>
      </c>
      <c r="F89" s="177">
        <v>0.34699999999999998</v>
      </c>
      <c r="M89" s="176"/>
    </row>
    <row r="90" spans="1:76" x14ac:dyDescent="0.25">
      <c r="A90" s="168" t="s">
        <v>559</v>
      </c>
      <c r="B90" s="167" t="s">
        <v>558</v>
      </c>
      <c r="C90" s="88" t="s">
        <v>557</v>
      </c>
      <c r="D90" s="87"/>
      <c r="E90" s="167" t="s">
        <v>238</v>
      </c>
      <c r="F90" s="161">
        <v>5.0270000000000001</v>
      </c>
      <c r="G90" s="165">
        <v>0</v>
      </c>
      <c r="H90" s="161">
        <f>ROUND(F90*AO90,2)</f>
        <v>0</v>
      </c>
      <c r="I90" s="161">
        <f>ROUND(F90*AP90,2)</f>
        <v>0</v>
      </c>
      <c r="J90" s="161">
        <f>ROUND(F90*G90,2)</f>
        <v>0</v>
      </c>
      <c r="K90" s="161">
        <v>2.5249999999999999</v>
      </c>
      <c r="L90" s="161">
        <f>F90*K90</f>
        <v>12.693175</v>
      </c>
      <c r="M90" s="164" t="s">
        <v>121</v>
      </c>
      <c r="Z90" s="161">
        <f>ROUND(IF(AQ90="5",BJ90,0),2)</f>
        <v>0</v>
      </c>
      <c r="AB90" s="161">
        <f>ROUND(IF(AQ90="1",BH90,0),2)</f>
        <v>0</v>
      </c>
      <c r="AC90" s="161">
        <f>ROUND(IF(AQ90="1",BI90,0),2)</f>
        <v>0</v>
      </c>
      <c r="AD90" s="161">
        <f>ROUND(IF(AQ90="7",BH90,0),2)</f>
        <v>0</v>
      </c>
      <c r="AE90" s="161">
        <f>ROUND(IF(AQ90="7",BI90,0),2)</f>
        <v>0</v>
      </c>
      <c r="AF90" s="161">
        <f>ROUND(IF(AQ90="2",BH90,0),2)</f>
        <v>0</v>
      </c>
      <c r="AG90" s="161">
        <f>ROUND(IF(AQ90="2",BI90,0),2)</f>
        <v>0</v>
      </c>
      <c r="AH90" s="161">
        <f>ROUND(IF(AQ90="0",BJ90,0),2)</f>
        <v>0</v>
      </c>
      <c r="AI90" s="163" t="s">
        <v>53</v>
      </c>
      <c r="AJ90" s="161">
        <f>IF(AN90=0,J90,0)</f>
        <v>0</v>
      </c>
      <c r="AK90" s="161">
        <f>IF(AN90=12,J90,0)</f>
        <v>0</v>
      </c>
      <c r="AL90" s="161">
        <f>IF(AN90=21,J90,0)</f>
        <v>0</v>
      </c>
      <c r="AN90" s="161">
        <v>21</v>
      </c>
      <c r="AO90" s="161">
        <f>G90*0.891557564</f>
        <v>0</v>
      </c>
      <c r="AP90" s="161">
        <f>G90*(1-0.891557564)</f>
        <v>0</v>
      </c>
      <c r="AQ90" s="162" t="s">
        <v>114</v>
      </c>
      <c r="AV90" s="161">
        <f>ROUND(AW90+AX90,2)</f>
        <v>0</v>
      </c>
      <c r="AW90" s="161">
        <f>ROUND(F90*AO90,2)</f>
        <v>0</v>
      </c>
      <c r="AX90" s="161">
        <f>ROUND(F90*AP90,2)</f>
        <v>0</v>
      </c>
      <c r="AY90" s="162" t="s">
        <v>526</v>
      </c>
      <c r="AZ90" s="162" t="s">
        <v>525</v>
      </c>
      <c r="BA90" s="163" t="s">
        <v>117</v>
      </c>
      <c r="BC90" s="161">
        <f>AW90+AX90</f>
        <v>0</v>
      </c>
      <c r="BD90" s="161">
        <f>G90/(100-BE90)*100</f>
        <v>0</v>
      </c>
      <c r="BE90" s="161">
        <v>0</v>
      </c>
      <c r="BF90" s="161">
        <f>L90</f>
        <v>12.693175</v>
      </c>
      <c r="BH90" s="161">
        <f>F90*AO90</f>
        <v>0</v>
      </c>
      <c r="BI90" s="161">
        <f>F90*AP90</f>
        <v>0</v>
      </c>
      <c r="BJ90" s="161">
        <f>F90*G90</f>
        <v>0</v>
      </c>
      <c r="BK90" s="162" t="s">
        <v>116</v>
      </c>
      <c r="BL90" s="161">
        <v>27</v>
      </c>
      <c r="BW90" s="161">
        <v>21</v>
      </c>
      <c r="BX90" s="160" t="s">
        <v>557</v>
      </c>
    </row>
    <row r="91" spans="1:76" x14ac:dyDescent="0.25">
      <c r="A91" s="179"/>
      <c r="C91" s="178" t="s">
        <v>556</v>
      </c>
      <c r="D91" s="178" t="s">
        <v>401</v>
      </c>
      <c r="F91" s="177">
        <v>3.952</v>
      </c>
      <c r="M91" s="176"/>
    </row>
    <row r="92" spans="1:76" x14ac:dyDescent="0.25">
      <c r="A92" s="179"/>
      <c r="C92" s="178" t="s">
        <v>555</v>
      </c>
      <c r="D92" s="178" t="s">
        <v>536</v>
      </c>
      <c r="F92" s="177">
        <v>0.56699999999999995</v>
      </c>
      <c r="M92" s="176"/>
    </row>
    <row r="93" spans="1:76" x14ac:dyDescent="0.25">
      <c r="A93" s="179"/>
      <c r="C93" s="178" t="s">
        <v>554</v>
      </c>
      <c r="D93" s="178" t="s">
        <v>534</v>
      </c>
      <c r="F93" s="177">
        <v>0.27100000000000002</v>
      </c>
      <c r="M93" s="176"/>
    </row>
    <row r="94" spans="1:76" x14ac:dyDescent="0.25">
      <c r="A94" s="179"/>
      <c r="C94" s="178" t="s">
        <v>553</v>
      </c>
      <c r="D94" s="178" t="s">
        <v>532</v>
      </c>
      <c r="F94" s="177">
        <v>0.23699999999999999</v>
      </c>
      <c r="M94" s="176"/>
    </row>
    <row r="95" spans="1:76" x14ac:dyDescent="0.25">
      <c r="A95" s="168" t="s">
        <v>552</v>
      </c>
      <c r="B95" s="167" t="s">
        <v>551</v>
      </c>
      <c r="C95" s="88" t="s">
        <v>550</v>
      </c>
      <c r="D95" s="87"/>
      <c r="E95" s="167" t="s">
        <v>206</v>
      </c>
      <c r="F95" s="161">
        <v>0.22800000000000001</v>
      </c>
      <c r="G95" s="165">
        <v>0</v>
      </c>
      <c r="H95" s="161">
        <f>ROUND(F95*AO95,2)</f>
        <v>0</v>
      </c>
      <c r="I95" s="161">
        <f>ROUND(F95*AP95,2)</f>
        <v>0</v>
      </c>
      <c r="J95" s="161">
        <f>ROUND(F95*G95,2)</f>
        <v>0</v>
      </c>
      <c r="K95" s="161">
        <v>1.0529299999999999</v>
      </c>
      <c r="L95" s="161">
        <f>F95*K95</f>
        <v>0.24006803999999998</v>
      </c>
      <c r="M95" s="164" t="s">
        <v>121</v>
      </c>
      <c r="Z95" s="161">
        <f>ROUND(IF(AQ95="5",BJ95,0),2)</f>
        <v>0</v>
      </c>
      <c r="AB95" s="161">
        <f>ROUND(IF(AQ95="1",BH95,0),2)</f>
        <v>0</v>
      </c>
      <c r="AC95" s="161">
        <f>ROUND(IF(AQ95="1",BI95,0),2)</f>
        <v>0</v>
      </c>
      <c r="AD95" s="161">
        <f>ROUND(IF(AQ95="7",BH95,0),2)</f>
        <v>0</v>
      </c>
      <c r="AE95" s="161">
        <f>ROUND(IF(AQ95="7",BI95,0),2)</f>
        <v>0</v>
      </c>
      <c r="AF95" s="161">
        <f>ROUND(IF(AQ95="2",BH95,0),2)</f>
        <v>0</v>
      </c>
      <c r="AG95" s="161">
        <f>ROUND(IF(AQ95="2",BI95,0),2)</f>
        <v>0</v>
      </c>
      <c r="AH95" s="161">
        <f>ROUND(IF(AQ95="0",BJ95,0),2)</f>
        <v>0</v>
      </c>
      <c r="AI95" s="163" t="s">
        <v>53</v>
      </c>
      <c r="AJ95" s="161">
        <f>IF(AN95=0,J95,0)</f>
        <v>0</v>
      </c>
      <c r="AK95" s="161">
        <f>IF(AN95=12,J95,0)</f>
        <v>0</v>
      </c>
      <c r="AL95" s="161">
        <f>IF(AN95=21,J95,0)</f>
        <v>0</v>
      </c>
      <c r="AN95" s="161">
        <v>21</v>
      </c>
      <c r="AO95" s="161">
        <f>G95*0.755788322</f>
        <v>0</v>
      </c>
      <c r="AP95" s="161">
        <f>G95*(1-0.755788322)</f>
        <v>0</v>
      </c>
      <c r="AQ95" s="162" t="s">
        <v>114</v>
      </c>
      <c r="AV95" s="161">
        <f>ROUND(AW95+AX95,2)</f>
        <v>0</v>
      </c>
      <c r="AW95" s="161">
        <f>ROUND(F95*AO95,2)</f>
        <v>0</v>
      </c>
      <c r="AX95" s="161">
        <f>ROUND(F95*AP95,2)</f>
        <v>0</v>
      </c>
      <c r="AY95" s="162" t="s">
        <v>526</v>
      </c>
      <c r="AZ95" s="162" t="s">
        <v>525</v>
      </c>
      <c r="BA95" s="163" t="s">
        <v>117</v>
      </c>
      <c r="BC95" s="161">
        <f>AW95+AX95</f>
        <v>0</v>
      </c>
      <c r="BD95" s="161">
        <f>G95/(100-BE95)*100</f>
        <v>0</v>
      </c>
      <c r="BE95" s="161">
        <v>0</v>
      </c>
      <c r="BF95" s="161">
        <f>L95</f>
        <v>0.24006803999999998</v>
      </c>
      <c r="BH95" s="161">
        <f>F95*AO95</f>
        <v>0</v>
      </c>
      <c r="BI95" s="161">
        <f>F95*AP95</f>
        <v>0</v>
      </c>
      <c r="BJ95" s="161">
        <f>F95*G95</f>
        <v>0</v>
      </c>
      <c r="BK95" s="162" t="s">
        <v>116</v>
      </c>
      <c r="BL95" s="161">
        <v>27</v>
      </c>
      <c r="BW95" s="161">
        <v>21</v>
      </c>
      <c r="BX95" s="160" t="s">
        <v>550</v>
      </c>
    </row>
    <row r="96" spans="1:76" ht="13.5" customHeight="1" x14ac:dyDescent="0.25">
      <c r="A96" s="179"/>
      <c r="C96" s="184" t="s">
        <v>549</v>
      </c>
      <c r="D96" s="182"/>
      <c r="E96" s="182"/>
      <c r="F96" s="182"/>
      <c r="G96" s="182"/>
      <c r="H96" s="182"/>
      <c r="I96" s="182"/>
      <c r="J96" s="182"/>
      <c r="K96" s="182"/>
      <c r="L96" s="182"/>
      <c r="M96" s="183"/>
    </row>
    <row r="97" spans="1:76" x14ac:dyDescent="0.25">
      <c r="A97" s="179"/>
      <c r="C97" s="178" t="s">
        <v>548</v>
      </c>
      <c r="D97" s="178" t="s">
        <v>401</v>
      </c>
      <c r="F97" s="177">
        <v>0.187</v>
      </c>
      <c r="M97" s="176"/>
    </row>
    <row r="98" spans="1:76" x14ac:dyDescent="0.25">
      <c r="A98" s="179"/>
      <c r="C98" s="178" t="s">
        <v>547</v>
      </c>
      <c r="D98" s="178" t="s">
        <v>536</v>
      </c>
      <c r="F98" s="177">
        <v>0.02</v>
      </c>
      <c r="M98" s="176"/>
    </row>
    <row r="99" spans="1:76" x14ac:dyDescent="0.25">
      <c r="A99" s="179"/>
      <c r="C99" s="178" t="s">
        <v>546</v>
      </c>
      <c r="D99" s="178" t="s">
        <v>534</v>
      </c>
      <c r="F99" s="177">
        <v>0.01</v>
      </c>
      <c r="M99" s="176"/>
    </row>
    <row r="100" spans="1:76" x14ac:dyDescent="0.25">
      <c r="A100" s="179"/>
      <c r="C100" s="178" t="s">
        <v>545</v>
      </c>
      <c r="D100" s="178" t="s">
        <v>532</v>
      </c>
      <c r="F100" s="177">
        <v>1.0999999999999999E-2</v>
      </c>
      <c r="M100" s="176"/>
    </row>
    <row r="101" spans="1:76" x14ac:dyDescent="0.25">
      <c r="A101" s="168" t="s">
        <v>544</v>
      </c>
      <c r="B101" s="167" t="s">
        <v>543</v>
      </c>
      <c r="C101" s="88" t="s">
        <v>542</v>
      </c>
      <c r="D101" s="87"/>
      <c r="E101" s="167" t="s">
        <v>167</v>
      </c>
      <c r="F101" s="161">
        <v>67.819999999999993</v>
      </c>
      <c r="G101" s="165">
        <v>0</v>
      </c>
      <c r="H101" s="161">
        <f>ROUND(F101*AO101,2)</f>
        <v>0</v>
      </c>
      <c r="I101" s="161">
        <f>ROUND(F101*AP101,2)</f>
        <v>0</v>
      </c>
      <c r="J101" s="161">
        <f>ROUND(F101*G101,2)</f>
        <v>0</v>
      </c>
      <c r="K101" s="161">
        <v>3.9300000000000002E-2</v>
      </c>
      <c r="L101" s="161">
        <f>F101*K101</f>
        <v>2.6653259999999999</v>
      </c>
      <c r="M101" s="164" t="s">
        <v>121</v>
      </c>
      <c r="Z101" s="161">
        <f>ROUND(IF(AQ101="5",BJ101,0),2)</f>
        <v>0</v>
      </c>
      <c r="AB101" s="161">
        <f>ROUND(IF(AQ101="1",BH101,0),2)</f>
        <v>0</v>
      </c>
      <c r="AC101" s="161">
        <f>ROUND(IF(AQ101="1",BI101,0),2)</f>
        <v>0</v>
      </c>
      <c r="AD101" s="161">
        <f>ROUND(IF(AQ101="7",BH101,0),2)</f>
        <v>0</v>
      </c>
      <c r="AE101" s="161">
        <f>ROUND(IF(AQ101="7",BI101,0),2)</f>
        <v>0</v>
      </c>
      <c r="AF101" s="161">
        <f>ROUND(IF(AQ101="2",BH101,0),2)</f>
        <v>0</v>
      </c>
      <c r="AG101" s="161">
        <f>ROUND(IF(AQ101="2",BI101,0),2)</f>
        <v>0</v>
      </c>
      <c r="AH101" s="161">
        <f>ROUND(IF(AQ101="0",BJ101,0),2)</f>
        <v>0</v>
      </c>
      <c r="AI101" s="163" t="s">
        <v>53</v>
      </c>
      <c r="AJ101" s="161">
        <f>IF(AN101=0,J101,0)</f>
        <v>0</v>
      </c>
      <c r="AK101" s="161">
        <f>IF(AN101=12,J101,0)</f>
        <v>0</v>
      </c>
      <c r="AL101" s="161">
        <f>IF(AN101=21,J101,0)</f>
        <v>0</v>
      </c>
      <c r="AN101" s="161">
        <v>21</v>
      </c>
      <c r="AO101" s="161">
        <f>G101*0.32261724</f>
        <v>0</v>
      </c>
      <c r="AP101" s="161">
        <f>G101*(1-0.32261724)</f>
        <v>0</v>
      </c>
      <c r="AQ101" s="162" t="s">
        <v>114</v>
      </c>
      <c r="AV101" s="161">
        <f>ROUND(AW101+AX101,2)</f>
        <v>0</v>
      </c>
      <c r="AW101" s="161">
        <f>ROUND(F101*AO101,2)</f>
        <v>0</v>
      </c>
      <c r="AX101" s="161">
        <f>ROUND(F101*AP101,2)</f>
        <v>0</v>
      </c>
      <c r="AY101" s="162" t="s">
        <v>526</v>
      </c>
      <c r="AZ101" s="162" t="s">
        <v>525</v>
      </c>
      <c r="BA101" s="163" t="s">
        <v>117</v>
      </c>
      <c r="BC101" s="161">
        <f>AW101+AX101</f>
        <v>0</v>
      </c>
      <c r="BD101" s="161">
        <f>G101/(100-BE101)*100</f>
        <v>0</v>
      </c>
      <c r="BE101" s="161">
        <v>0</v>
      </c>
      <c r="BF101" s="161">
        <f>L101</f>
        <v>2.6653259999999999</v>
      </c>
      <c r="BH101" s="161">
        <f>F101*AO101</f>
        <v>0</v>
      </c>
      <c r="BI101" s="161">
        <f>F101*AP101</f>
        <v>0</v>
      </c>
      <c r="BJ101" s="161">
        <f>F101*G101</f>
        <v>0</v>
      </c>
      <c r="BK101" s="162" t="s">
        <v>116</v>
      </c>
      <c r="BL101" s="161">
        <v>27</v>
      </c>
      <c r="BW101" s="161">
        <v>21</v>
      </c>
      <c r="BX101" s="160" t="s">
        <v>542</v>
      </c>
    </row>
    <row r="102" spans="1:76" x14ac:dyDescent="0.25">
      <c r="A102" s="179"/>
      <c r="C102" s="178" t="s">
        <v>538</v>
      </c>
      <c r="D102" s="178" t="s">
        <v>401</v>
      </c>
      <c r="F102" s="177">
        <v>56.4</v>
      </c>
      <c r="M102" s="176"/>
    </row>
    <row r="103" spans="1:76" x14ac:dyDescent="0.25">
      <c r="A103" s="179"/>
      <c r="C103" s="178" t="s">
        <v>537</v>
      </c>
      <c r="D103" s="178" t="s">
        <v>536</v>
      </c>
      <c r="F103" s="177">
        <v>5.4</v>
      </c>
      <c r="M103" s="176"/>
    </row>
    <row r="104" spans="1:76" x14ac:dyDescent="0.25">
      <c r="A104" s="179"/>
      <c r="C104" s="178" t="s">
        <v>535</v>
      </c>
      <c r="D104" s="178" t="s">
        <v>534</v>
      </c>
      <c r="F104" s="177">
        <v>1.72</v>
      </c>
      <c r="M104" s="176"/>
    </row>
    <row r="105" spans="1:76" x14ac:dyDescent="0.25">
      <c r="A105" s="179"/>
      <c r="C105" s="178" t="s">
        <v>533</v>
      </c>
      <c r="D105" s="178" t="s">
        <v>532</v>
      </c>
      <c r="F105" s="177">
        <v>4.3</v>
      </c>
      <c r="M105" s="176"/>
    </row>
    <row r="106" spans="1:76" x14ac:dyDescent="0.25">
      <c r="A106" s="168" t="s">
        <v>541</v>
      </c>
      <c r="B106" s="167" t="s">
        <v>540</v>
      </c>
      <c r="C106" s="88" t="s">
        <v>539</v>
      </c>
      <c r="D106" s="87"/>
      <c r="E106" s="167" t="s">
        <v>167</v>
      </c>
      <c r="F106" s="161">
        <v>67.819999999999993</v>
      </c>
      <c r="G106" s="165">
        <v>0</v>
      </c>
      <c r="H106" s="161">
        <f>ROUND(F106*AO106,2)</f>
        <v>0</v>
      </c>
      <c r="I106" s="161">
        <f>ROUND(F106*AP106,2)</f>
        <v>0</v>
      </c>
      <c r="J106" s="161">
        <f>ROUND(F106*G106,2)</f>
        <v>0</v>
      </c>
      <c r="K106" s="161">
        <v>0</v>
      </c>
      <c r="L106" s="161">
        <f>F106*K106</f>
        <v>0</v>
      </c>
      <c r="M106" s="164" t="s">
        <v>121</v>
      </c>
      <c r="Z106" s="161">
        <f>ROUND(IF(AQ106="5",BJ106,0),2)</f>
        <v>0</v>
      </c>
      <c r="AB106" s="161">
        <f>ROUND(IF(AQ106="1",BH106,0),2)</f>
        <v>0</v>
      </c>
      <c r="AC106" s="161">
        <f>ROUND(IF(AQ106="1",BI106,0),2)</f>
        <v>0</v>
      </c>
      <c r="AD106" s="161">
        <f>ROUND(IF(AQ106="7",BH106,0),2)</f>
        <v>0</v>
      </c>
      <c r="AE106" s="161">
        <f>ROUND(IF(AQ106="7",BI106,0),2)</f>
        <v>0</v>
      </c>
      <c r="AF106" s="161">
        <f>ROUND(IF(AQ106="2",BH106,0),2)</f>
        <v>0</v>
      </c>
      <c r="AG106" s="161">
        <f>ROUND(IF(AQ106="2",BI106,0),2)</f>
        <v>0</v>
      </c>
      <c r="AH106" s="161">
        <f>ROUND(IF(AQ106="0",BJ106,0),2)</f>
        <v>0</v>
      </c>
      <c r="AI106" s="163" t="s">
        <v>53</v>
      </c>
      <c r="AJ106" s="161">
        <f>IF(AN106=0,J106,0)</f>
        <v>0</v>
      </c>
      <c r="AK106" s="161">
        <f>IF(AN106=12,J106,0)</f>
        <v>0</v>
      </c>
      <c r="AL106" s="161">
        <f>IF(AN106=21,J106,0)</f>
        <v>0</v>
      </c>
      <c r="AN106" s="161">
        <v>21</v>
      </c>
      <c r="AO106" s="161">
        <f>G106*0</f>
        <v>0</v>
      </c>
      <c r="AP106" s="161">
        <f>G106*(1-0)</f>
        <v>0</v>
      </c>
      <c r="AQ106" s="162" t="s">
        <v>114</v>
      </c>
      <c r="AV106" s="161">
        <f>ROUND(AW106+AX106,2)</f>
        <v>0</v>
      </c>
      <c r="AW106" s="161">
        <f>ROUND(F106*AO106,2)</f>
        <v>0</v>
      </c>
      <c r="AX106" s="161">
        <f>ROUND(F106*AP106,2)</f>
        <v>0</v>
      </c>
      <c r="AY106" s="162" t="s">
        <v>526</v>
      </c>
      <c r="AZ106" s="162" t="s">
        <v>525</v>
      </c>
      <c r="BA106" s="163" t="s">
        <v>117</v>
      </c>
      <c r="BC106" s="161">
        <f>AW106+AX106</f>
        <v>0</v>
      </c>
      <c r="BD106" s="161">
        <f>G106/(100-BE106)*100</f>
        <v>0</v>
      </c>
      <c r="BE106" s="161">
        <v>0</v>
      </c>
      <c r="BF106" s="161">
        <f>L106</f>
        <v>0</v>
      </c>
      <c r="BH106" s="161">
        <f>F106*AO106</f>
        <v>0</v>
      </c>
      <c r="BI106" s="161">
        <f>F106*AP106</f>
        <v>0</v>
      </c>
      <c r="BJ106" s="161">
        <f>F106*G106</f>
        <v>0</v>
      </c>
      <c r="BK106" s="162" t="s">
        <v>116</v>
      </c>
      <c r="BL106" s="161">
        <v>27</v>
      </c>
      <c r="BW106" s="161">
        <v>21</v>
      </c>
      <c r="BX106" s="160" t="s">
        <v>539</v>
      </c>
    </row>
    <row r="107" spans="1:76" x14ac:dyDescent="0.25">
      <c r="A107" s="179"/>
      <c r="C107" s="178" t="s">
        <v>538</v>
      </c>
      <c r="D107" s="178" t="s">
        <v>401</v>
      </c>
      <c r="F107" s="177">
        <v>56.4</v>
      </c>
      <c r="M107" s="176"/>
    </row>
    <row r="108" spans="1:76" x14ac:dyDescent="0.25">
      <c r="A108" s="179"/>
      <c r="C108" s="178" t="s">
        <v>537</v>
      </c>
      <c r="D108" s="178" t="s">
        <v>536</v>
      </c>
      <c r="F108" s="177">
        <v>5.4</v>
      </c>
      <c r="M108" s="176"/>
    </row>
    <row r="109" spans="1:76" x14ac:dyDescent="0.25">
      <c r="A109" s="179"/>
      <c r="C109" s="178" t="s">
        <v>535</v>
      </c>
      <c r="D109" s="178" t="s">
        <v>534</v>
      </c>
      <c r="F109" s="177">
        <v>1.72</v>
      </c>
      <c r="M109" s="176"/>
    </row>
    <row r="110" spans="1:76" x14ac:dyDescent="0.25">
      <c r="A110" s="179"/>
      <c r="C110" s="178" t="s">
        <v>533</v>
      </c>
      <c r="D110" s="178" t="s">
        <v>532</v>
      </c>
      <c r="F110" s="177">
        <v>4.3</v>
      </c>
      <c r="M110" s="176"/>
    </row>
    <row r="111" spans="1:76" x14ac:dyDescent="0.25">
      <c r="A111" s="168" t="s">
        <v>531</v>
      </c>
      <c r="B111" s="167" t="s">
        <v>530</v>
      </c>
      <c r="C111" s="88" t="s">
        <v>529</v>
      </c>
      <c r="D111" s="87"/>
      <c r="E111" s="167" t="s">
        <v>167</v>
      </c>
      <c r="F111" s="161">
        <v>7.65</v>
      </c>
      <c r="G111" s="165">
        <v>0</v>
      </c>
      <c r="H111" s="161">
        <f>ROUND(F111*AO111,2)</f>
        <v>0</v>
      </c>
      <c r="I111" s="161">
        <f>ROUND(F111*AP111,2)</f>
        <v>0</v>
      </c>
      <c r="J111" s="161">
        <f>ROUND(F111*G111,2)</f>
        <v>0</v>
      </c>
      <c r="K111" s="161">
        <v>5.8220000000000001E-2</v>
      </c>
      <c r="L111" s="161">
        <f>F111*K111</f>
        <v>0.44538300000000003</v>
      </c>
      <c r="M111" s="164" t="s">
        <v>121</v>
      </c>
      <c r="Z111" s="161">
        <f>ROUND(IF(AQ111="5",BJ111,0),2)</f>
        <v>0</v>
      </c>
      <c r="AB111" s="161">
        <f>ROUND(IF(AQ111="1",BH111,0),2)</f>
        <v>0</v>
      </c>
      <c r="AC111" s="161">
        <f>ROUND(IF(AQ111="1",BI111,0),2)</f>
        <v>0</v>
      </c>
      <c r="AD111" s="161">
        <f>ROUND(IF(AQ111="7",BH111,0),2)</f>
        <v>0</v>
      </c>
      <c r="AE111" s="161">
        <f>ROUND(IF(AQ111="7",BI111,0),2)</f>
        <v>0</v>
      </c>
      <c r="AF111" s="161">
        <f>ROUND(IF(AQ111="2",BH111,0),2)</f>
        <v>0</v>
      </c>
      <c r="AG111" s="161">
        <f>ROUND(IF(AQ111="2",BI111,0),2)</f>
        <v>0</v>
      </c>
      <c r="AH111" s="161">
        <f>ROUND(IF(AQ111="0",BJ111,0),2)</f>
        <v>0</v>
      </c>
      <c r="AI111" s="163" t="s">
        <v>53</v>
      </c>
      <c r="AJ111" s="161">
        <f>IF(AN111=0,J111,0)</f>
        <v>0</v>
      </c>
      <c r="AK111" s="161">
        <f>IF(AN111=12,J111,0)</f>
        <v>0</v>
      </c>
      <c r="AL111" s="161">
        <f>IF(AN111=21,J111,0)</f>
        <v>0</v>
      </c>
      <c r="AN111" s="161">
        <v>21</v>
      </c>
      <c r="AO111" s="161">
        <f>G111*0.295666121</f>
        <v>0</v>
      </c>
      <c r="AP111" s="161">
        <f>G111*(1-0.295666121)</f>
        <v>0</v>
      </c>
      <c r="AQ111" s="162" t="s">
        <v>114</v>
      </c>
      <c r="AV111" s="161">
        <f>ROUND(AW111+AX111,2)</f>
        <v>0</v>
      </c>
      <c r="AW111" s="161">
        <f>ROUND(F111*AO111,2)</f>
        <v>0</v>
      </c>
      <c r="AX111" s="161">
        <f>ROUND(F111*AP111,2)</f>
        <v>0</v>
      </c>
      <c r="AY111" s="162" t="s">
        <v>526</v>
      </c>
      <c r="AZ111" s="162" t="s">
        <v>525</v>
      </c>
      <c r="BA111" s="163" t="s">
        <v>117</v>
      </c>
      <c r="BC111" s="161">
        <f>AW111+AX111</f>
        <v>0</v>
      </c>
      <c r="BD111" s="161">
        <f>G111/(100-BE111)*100</f>
        <v>0</v>
      </c>
      <c r="BE111" s="161">
        <v>0</v>
      </c>
      <c r="BF111" s="161">
        <f>L111</f>
        <v>0.44538300000000003</v>
      </c>
      <c r="BH111" s="161">
        <f>F111*AO111</f>
        <v>0</v>
      </c>
      <c r="BI111" s="161">
        <f>F111*AP111</f>
        <v>0</v>
      </c>
      <c r="BJ111" s="161">
        <f>F111*G111</f>
        <v>0</v>
      </c>
      <c r="BK111" s="162" t="s">
        <v>116</v>
      </c>
      <c r="BL111" s="161">
        <v>27</v>
      </c>
      <c r="BW111" s="161">
        <v>21</v>
      </c>
      <c r="BX111" s="160" t="s">
        <v>529</v>
      </c>
    </row>
    <row r="112" spans="1:76" x14ac:dyDescent="0.25">
      <c r="A112" s="179"/>
      <c r="C112" s="178" t="s">
        <v>523</v>
      </c>
      <c r="D112" s="178" t="s">
        <v>522</v>
      </c>
      <c r="F112" s="177">
        <v>7.65</v>
      </c>
      <c r="M112" s="176"/>
    </row>
    <row r="113" spans="1:76" x14ac:dyDescent="0.25">
      <c r="A113" s="168" t="s">
        <v>528</v>
      </c>
      <c r="B113" s="167" t="s">
        <v>527</v>
      </c>
      <c r="C113" s="88" t="s">
        <v>524</v>
      </c>
      <c r="D113" s="87"/>
      <c r="E113" s="167" t="s">
        <v>167</v>
      </c>
      <c r="F113" s="161">
        <v>7.65</v>
      </c>
      <c r="G113" s="165">
        <v>0</v>
      </c>
      <c r="H113" s="161">
        <f>ROUND(F113*AO113,2)</f>
        <v>0</v>
      </c>
      <c r="I113" s="161">
        <f>ROUND(F113*AP113,2)</f>
        <v>0</v>
      </c>
      <c r="J113" s="161">
        <f>ROUND(F113*G113,2)</f>
        <v>0</v>
      </c>
      <c r="K113" s="161">
        <v>0</v>
      </c>
      <c r="L113" s="161">
        <f>F113*K113</f>
        <v>0</v>
      </c>
      <c r="M113" s="164" t="s">
        <v>121</v>
      </c>
      <c r="Z113" s="161">
        <f>ROUND(IF(AQ113="5",BJ113,0),2)</f>
        <v>0</v>
      </c>
      <c r="AB113" s="161">
        <f>ROUND(IF(AQ113="1",BH113,0),2)</f>
        <v>0</v>
      </c>
      <c r="AC113" s="161">
        <f>ROUND(IF(AQ113="1",BI113,0),2)</f>
        <v>0</v>
      </c>
      <c r="AD113" s="161">
        <f>ROUND(IF(AQ113="7",BH113,0),2)</f>
        <v>0</v>
      </c>
      <c r="AE113" s="161">
        <f>ROUND(IF(AQ113="7",BI113,0),2)</f>
        <v>0</v>
      </c>
      <c r="AF113" s="161">
        <f>ROUND(IF(AQ113="2",BH113,0),2)</f>
        <v>0</v>
      </c>
      <c r="AG113" s="161">
        <f>ROUND(IF(AQ113="2",BI113,0),2)</f>
        <v>0</v>
      </c>
      <c r="AH113" s="161">
        <f>ROUND(IF(AQ113="0",BJ113,0),2)</f>
        <v>0</v>
      </c>
      <c r="AI113" s="163" t="s">
        <v>53</v>
      </c>
      <c r="AJ113" s="161">
        <f>IF(AN113=0,J113,0)</f>
        <v>0</v>
      </c>
      <c r="AK113" s="161">
        <f>IF(AN113=12,J113,0)</f>
        <v>0</v>
      </c>
      <c r="AL113" s="161">
        <f>IF(AN113=21,J113,0)</f>
        <v>0</v>
      </c>
      <c r="AN113" s="161">
        <v>21</v>
      </c>
      <c r="AO113" s="161">
        <f>G113*0</f>
        <v>0</v>
      </c>
      <c r="AP113" s="161">
        <f>G113*(1-0)</f>
        <v>0</v>
      </c>
      <c r="AQ113" s="162" t="s">
        <v>114</v>
      </c>
      <c r="AV113" s="161">
        <f>ROUND(AW113+AX113,2)</f>
        <v>0</v>
      </c>
      <c r="AW113" s="161">
        <f>ROUND(F113*AO113,2)</f>
        <v>0</v>
      </c>
      <c r="AX113" s="161">
        <f>ROUND(F113*AP113,2)</f>
        <v>0</v>
      </c>
      <c r="AY113" s="162" t="s">
        <v>526</v>
      </c>
      <c r="AZ113" s="162" t="s">
        <v>525</v>
      </c>
      <c r="BA113" s="163" t="s">
        <v>117</v>
      </c>
      <c r="BC113" s="161">
        <f>AW113+AX113</f>
        <v>0</v>
      </c>
      <c r="BD113" s="161">
        <f>G113/(100-BE113)*100</f>
        <v>0</v>
      </c>
      <c r="BE113" s="161">
        <v>0</v>
      </c>
      <c r="BF113" s="161">
        <f>L113</f>
        <v>0</v>
      </c>
      <c r="BH113" s="161">
        <f>F113*AO113</f>
        <v>0</v>
      </c>
      <c r="BI113" s="161">
        <f>F113*AP113</f>
        <v>0</v>
      </c>
      <c r="BJ113" s="161">
        <f>F113*G113</f>
        <v>0</v>
      </c>
      <c r="BK113" s="162" t="s">
        <v>116</v>
      </c>
      <c r="BL113" s="161">
        <v>27</v>
      </c>
      <c r="BW113" s="161">
        <v>21</v>
      </c>
      <c r="BX113" s="160" t="s">
        <v>524</v>
      </c>
    </row>
    <row r="114" spans="1:76" x14ac:dyDescent="0.25">
      <c r="A114" s="179"/>
      <c r="C114" s="178" t="s">
        <v>523</v>
      </c>
      <c r="D114" s="178" t="s">
        <v>522</v>
      </c>
      <c r="F114" s="177">
        <v>7.65</v>
      </c>
      <c r="M114" s="176"/>
    </row>
    <row r="115" spans="1:76" x14ac:dyDescent="0.25">
      <c r="A115" s="175" t="s">
        <v>53</v>
      </c>
      <c r="B115" s="174" t="s">
        <v>483</v>
      </c>
      <c r="C115" s="173" t="s">
        <v>521</v>
      </c>
      <c r="D115" s="172"/>
      <c r="E115" s="171" t="s">
        <v>1</v>
      </c>
      <c r="F115" s="171" t="s">
        <v>1</v>
      </c>
      <c r="G115" s="171" t="s">
        <v>1</v>
      </c>
      <c r="H115" s="169">
        <f>ROUND(SUM(H116:H123),2)</f>
        <v>0</v>
      </c>
      <c r="I115" s="169">
        <f>ROUND(SUM(I116:I123),2)</f>
        <v>0</v>
      </c>
      <c r="J115" s="169">
        <f>ROUND(SUM(J116:J123),2)</f>
        <v>0</v>
      </c>
      <c r="K115" s="163" t="s">
        <v>53</v>
      </c>
      <c r="L115" s="169">
        <f>SUM(L116:L123)</f>
        <v>3.4394475500000001</v>
      </c>
      <c r="M115" s="170" t="s">
        <v>53</v>
      </c>
      <c r="AI115" s="163" t="s">
        <v>53</v>
      </c>
      <c r="AS115" s="169">
        <f>SUM(AJ116:AJ123)</f>
        <v>0</v>
      </c>
      <c r="AT115" s="169">
        <f>SUM(AK116:AK123)</f>
        <v>0</v>
      </c>
      <c r="AU115" s="169">
        <f>SUM(AL116:AL123)</f>
        <v>0</v>
      </c>
    </row>
    <row r="116" spans="1:76" x14ac:dyDescent="0.25">
      <c r="A116" s="168" t="s">
        <v>520</v>
      </c>
      <c r="B116" s="167" t="s">
        <v>519</v>
      </c>
      <c r="C116" s="88" t="s">
        <v>518</v>
      </c>
      <c r="D116" s="87"/>
      <c r="E116" s="167" t="s">
        <v>238</v>
      </c>
      <c r="F116" s="161">
        <v>1.129</v>
      </c>
      <c r="G116" s="165">
        <v>0</v>
      </c>
      <c r="H116" s="161">
        <f>ROUND(F116*AO116,2)</f>
        <v>0</v>
      </c>
      <c r="I116" s="161">
        <f>ROUND(F116*AP116,2)</f>
        <v>0</v>
      </c>
      <c r="J116" s="161">
        <f>ROUND(F116*G116,2)</f>
        <v>0</v>
      </c>
      <c r="K116" s="161">
        <v>3.0044900000000001</v>
      </c>
      <c r="L116" s="161">
        <f>F116*K116</f>
        <v>3.3920692100000003</v>
      </c>
      <c r="M116" s="164" t="s">
        <v>121</v>
      </c>
      <c r="Z116" s="161">
        <f>ROUND(IF(AQ116="5",BJ116,0),2)</f>
        <v>0</v>
      </c>
      <c r="AB116" s="161">
        <f>ROUND(IF(AQ116="1",BH116,0),2)</f>
        <v>0</v>
      </c>
      <c r="AC116" s="161">
        <f>ROUND(IF(AQ116="1",BI116,0),2)</f>
        <v>0</v>
      </c>
      <c r="AD116" s="161">
        <f>ROUND(IF(AQ116="7",BH116,0),2)</f>
        <v>0</v>
      </c>
      <c r="AE116" s="161">
        <f>ROUND(IF(AQ116="7",BI116,0),2)</f>
        <v>0</v>
      </c>
      <c r="AF116" s="161">
        <f>ROUND(IF(AQ116="2",BH116,0),2)</f>
        <v>0</v>
      </c>
      <c r="AG116" s="161">
        <f>ROUND(IF(AQ116="2",BI116,0),2)</f>
        <v>0</v>
      </c>
      <c r="AH116" s="161">
        <f>ROUND(IF(AQ116="0",BJ116,0),2)</f>
        <v>0</v>
      </c>
      <c r="AI116" s="163" t="s">
        <v>53</v>
      </c>
      <c r="AJ116" s="161">
        <f>IF(AN116=0,J116,0)</f>
        <v>0</v>
      </c>
      <c r="AK116" s="161">
        <f>IF(AN116=12,J116,0)</f>
        <v>0</v>
      </c>
      <c r="AL116" s="161">
        <f>IF(AN116=21,J116,0)</f>
        <v>0</v>
      </c>
      <c r="AN116" s="161">
        <v>21</v>
      </c>
      <c r="AO116" s="161">
        <f>G116*0.6411274</f>
        <v>0</v>
      </c>
      <c r="AP116" s="161">
        <f>G116*(1-0.6411274)</f>
        <v>0</v>
      </c>
      <c r="AQ116" s="162" t="s">
        <v>114</v>
      </c>
      <c r="AV116" s="161">
        <f>ROUND(AW116+AX116,2)</f>
        <v>0</v>
      </c>
      <c r="AW116" s="161">
        <f>ROUND(F116*AO116,2)</f>
        <v>0</v>
      </c>
      <c r="AX116" s="161">
        <f>ROUND(F116*AP116,2)</f>
        <v>0</v>
      </c>
      <c r="AY116" s="162" t="s">
        <v>501</v>
      </c>
      <c r="AZ116" s="162" t="s">
        <v>494</v>
      </c>
      <c r="BA116" s="163" t="s">
        <v>117</v>
      </c>
      <c r="BC116" s="161">
        <f>AW116+AX116</f>
        <v>0</v>
      </c>
      <c r="BD116" s="161">
        <f>G116/(100-BE116)*100</f>
        <v>0</v>
      </c>
      <c r="BE116" s="161">
        <v>0</v>
      </c>
      <c r="BF116" s="161">
        <f>L116</f>
        <v>3.3920692100000003</v>
      </c>
      <c r="BH116" s="161">
        <f>F116*AO116</f>
        <v>0</v>
      </c>
      <c r="BI116" s="161">
        <f>F116*AP116</f>
        <v>0</v>
      </c>
      <c r="BJ116" s="161">
        <f>F116*G116</f>
        <v>0</v>
      </c>
      <c r="BK116" s="162" t="s">
        <v>116</v>
      </c>
      <c r="BL116" s="161">
        <v>32</v>
      </c>
      <c r="BW116" s="161">
        <v>21</v>
      </c>
      <c r="BX116" s="160" t="s">
        <v>518</v>
      </c>
    </row>
    <row r="117" spans="1:76" x14ac:dyDescent="0.25">
      <c r="A117" s="179"/>
      <c r="C117" s="178" t="s">
        <v>517</v>
      </c>
      <c r="D117" s="178" t="s">
        <v>516</v>
      </c>
      <c r="F117" s="177">
        <v>1.129</v>
      </c>
      <c r="M117" s="176"/>
    </row>
    <row r="118" spans="1:76" x14ac:dyDescent="0.25">
      <c r="A118" s="168" t="s">
        <v>515</v>
      </c>
      <c r="B118" s="167" t="s">
        <v>514</v>
      </c>
      <c r="C118" s="88" t="s">
        <v>513</v>
      </c>
      <c r="D118" s="87"/>
      <c r="E118" s="167" t="s">
        <v>206</v>
      </c>
      <c r="F118" s="161">
        <v>2.7E-2</v>
      </c>
      <c r="G118" s="165">
        <v>0</v>
      </c>
      <c r="H118" s="161">
        <f>ROUND(F118*AO118,2)</f>
        <v>0</v>
      </c>
      <c r="I118" s="161">
        <f>ROUND(F118*AP118,2)</f>
        <v>0</v>
      </c>
      <c r="J118" s="161">
        <f>ROUND(F118*G118,2)</f>
        <v>0</v>
      </c>
      <c r="K118" s="161">
        <v>1.06142</v>
      </c>
      <c r="L118" s="161">
        <f>F118*K118</f>
        <v>2.8658340000000001E-2</v>
      </c>
      <c r="M118" s="164" t="s">
        <v>121</v>
      </c>
      <c r="Z118" s="161">
        <f>ROUND(IF(AQ118="5",BJ118,0),2)</f>
        <v>0</v>
      </c>
      <c r="AB118" s="161">
        <f>ROUND(IF(AQ118="1",BH118,0),2)</f>
        <v>0</v>
      </c>
      <c r="AC118" s="161">
        <f>ROUND(IF(AQ118="1",BI118,0),2)</f>
        <v>0</v>
      </c>
      <c r="AD118" s="161">
        <f>ROUND(IF(AQ118="7",BH118,0),2)</f>
        <v>0</v>
      </c>
      <c r="AE118" s="161">
        <f>ROUND(IF(AQ118="7",BI118,0),2)</f>
        <v>0</v>
      </c>
      <c r="AF118" s="161">
        <f>ROUND(IF(AQ118="2",BH118,0),2)</f>
        <v>0</v>
      </c>
      <c r="AG118" s="161">
        <f>ROUND(IF(AQ118="2",BI118,0),2)</f>
        <v>0</v>
      </c>
      <c r="AH118" s="161">
        <f>ROUND(IF(AQ118="0",BJ118,0),2)</f>
        <v>0</v>
      </c>
      <c r="AI118" s="163" t="s">
        <v>53</v>
      </c>
      <c r="AJ118" s="161">
        <f>IF(AN118=0,J118,0)</f>
        <v>0</v>
      </c>
      <c r="AK118" s="161">
        <f>IF(AN118=12,J118,0)</f>
        <v>0</v>
      </c>
      <c r="AL118" s="161">
        <f>IF(AN118=21,J118,0)</f>
        <v>0</v>
      </c>
      <c r="AN118" s="161">
        <v>21</v>
      </c>
      <c r="AO118" s="161">
        <f>G118*0.541627961</f>
        <v>0</v>
      </c>
      <c r="AP118" s="161">
        <f>G118*(1-0.541627961)</f>
        <v>0</v>
      </c>
      <c r="AQ118" s="162" t="s">
        <v>114</v>
      </c>
      <c r="AV118" s="161">
        <f>ROUND(AW118+AX118,2)</f>
        <v>0</v>
      </c>
      <c r="AW118" s="161">
        <f>ROUND(F118*AO118,2)</f>
        <v>0</v>
      </c>
      <c r="AX118" s="161">
        <f>ROUND(F118*AP118,2)</f>
        <v>0</v>
      </c>
      <c r="AY118" s="162" t="s">
        <v>501</v>
      </c>
      <c r="AZ118" s="162" t="s">
        <v>494</v>
      </c>
      <c r="BA118" s="163" t="s">
        <v>117</v>
      </c>
      <c r="BC118" s="161">
        <f>AW118+AX118</f>
        <v>0</v>
      </c>
      <c r="BD118" s="161">
        <f>G118/(100-BE118)*100</f>
        <v>0</v>
      </c>
      <c r="BE118" s="161">
        <v>0</v>
      </c>
      <c r="BF118" s="161">
        <f>L118</f>
        <v>2.8658340000000001E-2</v>
      </c>
      <c r="BH118" s="161">
        <f>F118*AO118</f>
        <v>0</v>
      </c>
      <c r="BI118" s="161">
        <f>F118*AP118</f>
        <v>0</v>
      </c>
      <c r="BJ118" s="161">
        <f>F118*G118</f>
        <v>0</v>
      </c>
      <c r="BK118" s="162" t="s">
        <v>116</v>
      </c>
      <c r="BL118" s="161">
        <v>32</v>
      </c>
      <c r="BW118" s="161">
        <v>21</v>
      </c>
      <c r="BX118" s="160" t="s">
        <v>513</v>
      </c>
    </row>
    <row r="119" spans="1:76" x14ac:dyDescent="0.25">
      <c r="A119" s="179"/>
      <c r="C119" s="178" t="s">
        <v>512</v>
      </c>
      <c r="D119" s="178" t="s">
        <v>511</v>
      </c>
      <c r="F119" s="177">
        <v>2.7E-2</v>
      </c>
      <c r="M119" s="176"/>
    </row>
    <row r="120" spans="1:76" x14ac:dyDescent="0.25">
      <c r="A120" s="168" t="s">
        <v>510</v>
      </c>
      <c r="B120" s="167" t="s">
        <v>509</v>
      </c>
      <c r="C120" s="88" t="s">
        <v>508</v>
      </c>
      <c r="D120" s="87"/>
      <c r="E120" s="167" t="s">
        <v>211</v>
      </c>
      <c r="F120" s="161">
        <v>404</v>
      </c>
      <c r="G120" s="165">
        <v>0</v>
      </c>
      <c r="H120" s="161">
        <f>ROUND(F120*AO120,2)</f>
        <v>0</v>
      </c>
      <c r="I120" s="161">
        <f>ROUND(F120*AP120,2)</f>
        <v>0</v>
      </c>
      <c r="J120" s="161">
        <f>ROUND(F120*G120,2)</f>
        <v>0</v>
      </c>
      <c r="K120" s="161">
        <v>0</v>
      </c>
      <c r="L120" s="161">
        <f>F120*K120</f>
        <v>0</v>
      </c>
      <c r="M120" s="164" t="s">
        <v>121</v>
      </c>
      <c r="Z120" s="161">
        <f>ROUND(IF(AQ120="5",BJ120,0),2)</f>
        <v>0</v>
      </c>
      <c r="AB120" s="161">
        <f>ROUND(IF(AQ120="1",BH120,0),2)</f>
        <v>0</v>
      </c>
      <c r="AC120" s="161">
        <f>ROUND(IF(AQ120="1",BI120,0),2)</f>
        <v>0</v>
      </c>
      <c r="AD120" s="161">
        <f>ROUND(IF(AQ120="7",BH120,0),2)</f>
        <v>0</v>
      </c>
      <c r="AE120" s="161">
        <f>ROUND(IF(AQ120="7",BI120,0),2)</f>
        <v>0</v>
      </c>
      <c r="AF120" s="161">
        <f>ROUND(IF(AQ120="2",BH120,0),2)</f>
        <v>0</v>
      </c>
      <c r="AG120" s="161">
        <f>ROUND(IF(AQ120="2",BI120,0),2)</f>
        <v>0</v>
      </c>
      <c r="AH120" s="161">
        <f>ROUND(IF(AQ120="0",BJ120,0),2)</f>
        <v>0</v>
      </c>
      <c r="AI120" s="163" t="s">
        <v>53</v>
      </c>
      <c r="AJ120" s="161">
        <f>IF(AN120=0,J120,0)</f>
        <v>0</v>
      </c>
      <c r="AK120" s="161">
        <f>IF(AN120=12,J120,0)</f>
        <v>0</v>
      </c>
      <c r="AL120" s="161">
        <f>IF(AN120=21,J120,0)</f>
        <v>0</v>
      </c>
      <c r="AN120" s="161">
        <v>21</v>
      </c>
      <c r="AO120" s="161">
        <f>G120*1</f>
        <v>0</v>
      </c>
      <c r="AP120" s="161">
        <f>G120*(1-1)</f>
        <v>0</v>
      </c>
      <c r="AQ120" s="162" t="s">
        <v>114</v>
      </c>
      <c r="AV120" s="161">
        <f>ROUND(AW120+AX120,2)</f>
        <v>0</v>
      </c>
      <c r="AW120" s="161">
        <f>ROUND(F120*AO120,2)</f>
        <v>0</v>
      </c>
      <c r="AX120" s="161">
        <f>ROUND(F120*AP120,2)</f>
        <v>0</v>
      </c>
      <c r="AY120" s="162" t="s">
        <v>501</v>
      </c>
      <c r="AZ120" s="162" t="s">
        <v>494</v>
      </c>
      <c r="BA120" s="163" t="s">
        <v>117</v>
      </c>
      <c r="BC120" s="161">
        <f>AW120+AX120</f>
        <v>0</v>
      </c>
      <c r="BD120" s="161">
        <f>G120/(100-BE120)*100</f>
        <v>0</v>
      </c>
      <c r="BE120" s="161">
        <v>0</v>
      </c>
      <c r="BF120" s="161">
        <f>L120</f>
        <v>0</v>
      </c>
      <c r="BH120" s="161">
        <f>F120*AO120</f>
        <v>0</v>
      </c>
      <c r="BI120" s="161">
        <f>F120*AP120</f>
        <v>0</v>
      </c>
      <c r="BJ120" s="161">
        <f>F120*G120</f>
        <v>0</v>
      </c>
      <c r="BK120" s="162" t="s">
        <v>246</v>
      </c>
      <c r="BL120" s="161">
        <v>32</v>
      </c>
      <c r="BW120" s="161">
        <v>21</v>
      </c>
      <c r="BX120" s="160" t="s">
        <v>508</v>
      </c>
    </row>
    <row r="121" spans="1:76" x14ac:dyDescent="0.25">
      <c r="A121" s="179"/>
      <c r="C121" s="178" t="s">
        <v>507</v>
      </c>
      <c r="D121" s="178" t="s">
        <v>506</v>
      </c>
      <c r="F121" s="177">
        <v>104</v>
      </c>
      <c r="M121" s="176"/>
    </row>
    <row r="122" spans="1:76" x14ac:dyDescent="0.25">
      <c r="A122" s="179"/>
      <c r="C122" s="178" t="s">
        <v>505</v>
      </c>
      <c r="D122" s="178" t="s">
        <v>504</v>
      </c>
      <c r="F122" s="177">
        <v>300</v>
      </c>
      <c r="M122" s="176"/>
    </row>
    <row r="123" spans="1:76" x14ac:dyDescent="0.25">
      <c r="A123" s="168" t="s">
        <v>503</v>
      </c>
      <c r="B123" s="167" t="s">
        <v>502</v>
      </c>
      <c r="C123" s="88" t="s">
        <v>500</v>
      </c>
      <c r="D123" s="87"/>
      <c r="E123" s="167" t="s">
        <v>217</v>
      </c>
      <c r="F123" s="161">
        <v>26</v>
      </c>
      <c r="G123" s="165">
        <v>0</v>
      </c>
      <c r="H123" s="161">
        <f>ROUND(F123*AO123,2)</f>
        <v>0</v>
      </c>
      <c r="I123" s="161">
        <f>ROUND(F123*AP123,2)</f>
        <v>0</v>
      </c>
      <c r="J123" s="161">
        <f>ROUND(F123*G123,2)</f>
        <v>0</v>
      </c>
      <c r="K123" s="161">
        <v>7.2000000000000005E-4</v>
      </c>
      <c r="L123" s="161">
        <f>F123*K123</f>
        <v>1.8720000000000001E-2</v>
      </c>
      <c r="M123" s="164" t="s">
        <v>121</v>
      </c>
      <c r="Z123" s="161">
        <f>ROUND(IF(AQ123="5",BJ123,0),2)</f>
        <v>0</v>
      </c>
      <c r="AB123" s="161">
        <f>ROUND(IF(AQ123="1",BH123,0),2)</f>
        <v>0</v>
      </c>
      <c r="AC123" s="161">
        <f>ROUND(IF(AQ123="1",BI123,0),2)</f>
        <v>0</v>
      </c>
      <c r="AD123" s="161">
        <f>ROUND(IF(AQ123="7",BH123,0),2)</f>
        <v>0</v>
      </c>
      <c r="AE123" s="161">
        <f>ROUND(IF(AQ123="7",BI123,0),2)</f>
        <v>0</v>
      </c>
      <c r="AF123" s="161">
        <f>ROUND(IF(AQ123="2",BH123,0),2)</f>
        <v>0</v>
      </c>
      <c r="AG123" s="161">
        <f>ROUND(IF(AQ123="2",BI123,0),2)</f>
        <v>0</v>
      </c>
      <c r="AH123" s="161">
        <f>ROUND(IF(AQ123="0",BJ123,0),2)</f>
        <v>0</v>
      </c>
      <c r="AI123" s="163" t="s">
        <v>53</v>
      </c>
      <c r="AJ123" s="161">
        <f>IF(AN123=0,J123,0)</f>
        <v>0</v>
      </c>
      <c r="AK123" s="161">
        <f>IF(AN123=12,J123,0)</f>
        <v>0</v>
      </c>
      <c r="AL123" s="161">
        <f>IF(AN123=21,J123,0)</f>
        <v>0</v>
      </c>
      <c r="AN123" s="161">
        <v>21</v>
      </c>
      <c r="AO123" s="161">
        <f>G123*1</f>
        <v>0</v>
      </c>
      <c r="AP123" s="161">
        <f>G123*(1-1)</f>
        <v>0</v>
      </c>
      <c r="AQ123" s="162" t="s">
        <v>114</v>
      </c>
      <c r="AV123" s="161">
        <f>ROUND(AW123+AX123,2)</f>
        <v>0</v>
      </c>
      <c r="AW123" s="161">
        <f>ROUND(F123*AO123,2)</f>
        <v>0</v>
      </c>
      <c r="AX123" s="161">
        <f>ROUND(F123*AP123,2)</f>
        <v>0</v>
      </c>
      <c r="AY123" s="162" t="s">
        <v>501</v>
      </c>
      <c r="AZ123" s="162" t="s">
        <v>494</v>
      </c>
      <c r="BA123" s="163" t="s">
        <v>117</v>
      </c>
      <c r="BC123" s="161">
        <f>AW123+AX123</f>
        <v>0</v>
      </c>
      <c r="BD123" s="161">
        <f>G123/(100-BE123)*100</f>
        <v>0</v>
      </c>
      <c r="BE123" s="161">
        <v>0</v>
      </c>
      <c r="BF123" s="161">
        <f>L123</f>
        <v>1.8720000000000001E-2</v>
      </c>
      <c r="BH123" s="161">
        <f>F123*AO123</f>
        <v>0</v>
      </c>
      <c r="BI123" s="161">
        <f>F123*AP123</f>
        <v>0</v>
      </c>
      <c r="BJ123" s="161">
        <f>F123*G123</f>
        <v>0</v>
      </c>
      <c r="BK123" s="162" t="s">
        <v>246</v>
      </c>
      <c r="BL123" s="161">
        <v>32</v>
      </c>
      <c r="BW123" s="161">
        <v>21</v>
      </c>
      <c r="BX123" s="160" t="s">
        <v>500</v>
      </c>
    </row>
    <row r="124" spans="1:76" x14ac:dyDescent="0.25">
      <c r="A124" s="179"/>
      <c r="C124" s="178" t="s">
        <v>499</v>
      </c>
      <c r="D124" s="178" t="s">
        <v>53</v>
      </c>
      <c r="F124" s="177">
        <v>26</v>
      </c>
      <c r="M124" s="176"/>
    </row>
    <row r="125" spans="1:76" x14ac:dyDescent="0.25">
      <c r="A125" s="175" t="s">
        <v>53</v>
      </c>
      <c r="B125" s="174" t="s">
        <v>452</v>
      </c>
      <c r="C125" s="173" t="s">
        <v>498</v>
      </c>
      <c r="D125" s="172"/>
      <c r="E125" s="171" t="s">
        <v>1</v>
      </c>
      <c r="F125" s="171" t="s">
        <v>1</v>
      </c>
      <c r="G125" s="171" t="s">
        <v>1</v>
      </c>
      <c r="H125" s="169">
        <f>ROUND(SUM(H126:H126),2)</f>
        <v>0</v>
      </c>
      <c r="I125" s="169">
        <f>ROUND(SUM(I126:I126),2)</f>
        <v>0</v>
      </c>
      <c r="J125" s="169">
        <f>ROUND(SUM(J126:J126),2)</f>
        <v>0</v>
      </c>
      <c r="K125" s="163" t="s">
        <v>53</v>
      </c>
      <c r="L125" s="169">
        <f>SUM(L126:L126)</f>
        <v>3.9E-2</v>
      </c>
      <c r="M125" s="170" t="s">
        <v>53</v>
      </c>
      <c r="AI125" s="163" t="s">
        <v>53</v>
      </c>
      <c r="AS125" s="169">
        <f>SUM(AJ126:AJ126)</f>
        <v>0</v>
      </c>
      <c r="AT125" s="169">
        <f>SUM(AK126:AK126)</f>
        <v>0</v>
      </c>
      <c r="AU125" s="169">
        <f>SUM(AL126:AL126)</f>
        <v>0</v>
      </c>
    </row>
    <row r="126" spans="1:76" x14ac:dyDescent="0.25">
      <c r="A126" s="168" t="s">
        <v>497</v>
      </c>
      <c r="B126" s="167" t="s">
        <v>496</v>
      </c>
      <c r="C126" s="88" t="s">
        <v>493</v>
      </c>
      <c r="D126" s="87"/>
      <c r="E126" s="167" t="s">
        <v>186</v>
      </c>
      <c r="F126" s="161">
        <v>39</v>
      </c>
      <c r="G126" s="165">
        <v>0</v>
      </c>
      <c r="H126" s="161">
        <f>ROUND(F126*AO126,2)</f>
        <v>0</v>
      </c>
      <c r="I126" s="161">
        <f>ROUND(F126*AP126,2)</f>
        <v>0</v>
      </c>
      <c r="J126" s="161">
        <f>ROUND(F126*G126,2)</f>
        <v>0</v>
      </c>
      <c r="K126" s="161">
        <v>1E-3</v>
      </c>
      <c r="L126" s="161">
        <f>F126*K126</f>
        <v>3.9E-2</v>
      </c>
      <c r="M126" s="164" t="s">
        <v>121</v>
      </c>
      <c r="Z126" s="161">
        <f>ROUND(IF(AQ126="5",BJ126,0),2)</f>
        <v>0</v>
      </c>
      <c r="AB126" s="161">
        <f>ROUND(IF(AQ126="1",BH126,0),2)</f>
        <v>0</v>
      </c>
      <c r="AC126" s="161">
        <f>ROUND(IF(AQ126="1",BI126,0),2)</f>
        <v>0</v>
      </c>
      <c r="AD126" s="161">
        <f>ROUND(IF(AQ126="7",BH126,0),2)</f>
        <v>0</v>
      </c>
      <c r="AE126" s="161">
        <f>ROUND(IF(AQ126="7",BI126,0),2)</f>
        <v>0</v>
      </c>
      <c r="AF126" s="161">
        <f>ROUND(IF(AQ126="2",BH126,0),2)</f>
        <v>0</v>
      </c>
      <c r="AG126" s="161">
        <f>ROUND(IF(AQ126="2",BI126,0),2)</f>
        <v>0</v>
      </c>
      <c r="AH126" s="161">
        <f>ROUND(IF(AQ126="0",BJ126,0),2)</f>
        <v>0</v>
      </c>
      <c r="AI126" s="163" t="s">
        <v>53</v>
      </c>
      <c r="AJ126" s="161">
        <f>IF(AN126=0,J126,0)</f>
        <v>0</v>
      </c>
      <c r="AK126" s="161">
        <f>IF(AN126=12,J126,0)</f>
        <v>0</v>
      </c>
      <c r="AL126" s="161">
        <f>IF(AN126=21,J126,0)</f>
        <v>0</v>
      </c>
      <c r="AN126" s="161">
        <v>21</v>
      </c>
      <c r="AO126" s="161">
        <f>G126*0.710904762</f>
        <v>0</v>
      </c>
      <c r="AP126" s="161">
        <f>G126*(1-0.710904762)</f>
        <v>0</v>
      </c>
      <c r="AQ126" s="162" t="s">
        <v>114</v>
      </c>
      <c r="AV126" s="161">
        <f>ROUND(AW126+AX126,2)</f>
        <v>0</v>
      </c>
      <c r="AW126" s="161">
        <f>ROUND(F126*AO126,2)</f>
        <v>0</v>
      </c>
      <c r="AX126" s="161">
        <f>ROUND(F126*AP126,2)</f>
        <v>0</v>
      </c>
      <c r="AY126" s="162" t="s">
        <v>495</v>
      </c>
      <c r="AZ126" s="162" t="s">
        <v>494</v>
      </c>
      <c r="BA126" s="163" t="s">
        <v>117</v>
      </c>
      <c r="BC126" s="161">
        <f>AW126+AX126</f>
        <v>0</v>
      </c>
      <c r="BD126" s="161">
        <f>G126/(100-BE126)*100</f>
        <v>0</v>
      </c>
      <c r="BE126" s="161">
        <v>0</v>
      </c>
      <c r="BF126" s="161">
        <f>L126</f>
        <v>3.9E-2</v>
      </c>
      <c r="BH126" s="161">
        <f>F126*AO126</f>
        <v>0</v>
      </c>
      <c r="BI126" s="161">
        <f>F126*AP126</f>
        <v>0</v>
      </c>
      <c r="BJ126" s="161">
        <f>F126*G126</f>
        <v>0</v>
      </c>
      <c r="BK126" s="162" t="s">
        <v>116</v>
      </c>
      <c r="BL126" s="161">
        <v>38</v>
      </c>
      <c r="BW126" s="161">
        <v>21</v>
      </c>
      <c r="BX126" s="160" t="s">
        <v>493</v>
      </c>
    </row>
    <row r="127" spans="1:76" x14ac:dyDescent="0.25">
      <c r="A127" s="179"/>
      <c r="C127" s="178" t="s">
        <v>492</v>
      </c>
      <c r="D127" s="178" t="s">
        <v>491</v>
      </c>
      <c r="F127" s="177">
        <v>39</v>
      </c>
      <c r="M127" s="176"/>
    </row>
    <row r="128" spans="1:76" x14ac:dyDescent="0.25">
      <c r="A128" s="175" t="s">
        <v>53</v>
      </c>
      <c r="B128" s="174" t="s">
        <v>137</v>
      </c>
      <c r="C128" s="173" t="s">
        <v>490</v>
      </c>
      <c r="D128" s="172"/>
      <c r="E128" s="171" t="s">
        <v>1</v>
      </c>
      <c r="F128" s="171" t="s">
        <v>1</v>
      </c>
      <c r="G128" s="171" t="s">
        <v>1</v>
      </c>
      <c r="H128" s="169">
        <f>ROUND(SUM(H129:H129),2)</f>
        <v>0</v>
      </c>
      <c r="I128" s="169">
        <f>ROUND(SUM(I129:I129),2)</f>
        <v>0</v>
      </c>
      <c r="J128" s="169">
        <f>ROUND(SUM(J129:J129),2)</f>
        <v>0</v>
      </c>
      <c r="K128" s="163" t="s">
        <v>53</v>
      </c>
      <c r="L128" s="169">
        <f>SUM(L129:L129)</f>
        <v>0.64205179999999995</v>
      </c>
      <c r="M128" s="170" t="s">
        <v>53</v>
      </c>
      <c r="AI128" s="163" t="s">
        <v>53</v>
      </c>
      <c r="AS128" s="169">
        <f>SUM(AJ129:AJ129)</f>
        <v>0</v>
      </c>
      <c r="AT128" s="169">
        <f>SUM(AK129:AK129)</f>
        <v>0</v>
      </c>
      <c r="AU128" s="169">
        <f>SUM(AL129:AL129)</f>
        <v>0</v>
      </c>
    </row>
    <row r="129" spans="1:76" x14ac:dyDescent="0.25">
      <c r="A129" s="168" t="s">
        <v>489</v>
      </c>
      <c r="B129" s="167" t="s">
        <v>488</v>
      </c>
      <c r="C129" s="88" t="s">
        <v>486</v>
      </c>
      <c r="D129" s="87"/>
      <c r="E129" s="167" t="s">
        <v>167</v>
      </c>
      <c r="F129" s="161">
        <v>101.27</v>
      </c>
      <c r="G129" s="165">
        <v>0</v>
      </c>
      <c r="H129" s="161">
        <f>ROUND(F129*AO129,2)</f>
        <v>0</v>
      </c>
      <c r="I129" s="161">
        <f>ROUND(F129*AP129,2)</f>
        <v>0</v>
      </c>
      <c r="J129" s="161">
        <f>ROUND(F129*G129,2)</f>
        <v>0</v>
      </c>
      <c r="K129" s="161">
        <v>6.3400000000000001E-3</v>
      </c>
      <c r="L129" s="161">
        <f>F129*K129</f>
        <v>0.64205179999999995</v>
      </c>
      <c r="M129" s="164" t="s">
        <v>121</v>
      </c>
      <c r="Z129" s="161">
        <f>ROUND(IF(AQ129="5",BJ129,0),2)</f>
        <v>0</v>
      </c>
      <c r="AB129" s="161">
        <f>ROUND(IF(AQ129="1",BH129,0),2)</f>
        <v>0</v>
      </c>
      <c r="AC129" s="161">
        <f>ROUND(IF(AQ129="1",BI129,0),2)</f>
        <v>0</v>
      </c>
      <c r="AD129" s="161">
        <f>ROUND(IF(AQ129="7",BH129,0),2)</f>
        <v>0</v>
      </c>
      <c r="AE129" s="161">
        <f>ROUND(IF(AQ129="7",BI129,0),2)</f>
        <v>0</v>
      </c>
      <c r="AF129" s="161">
        <f>ROUND(IF(AQ129="2",BH129,0),2)</f>
        <v>0</v>
      </c>
      <c r="AG129" s="161">
        <f>ROUND(IF(AQ129="2",BI129,0),2)</f>
        <v>0</v>
      </c>
      <c r="AH129" s="161">
        <f>ROUND(IF(AQ129="0",BJ129,0),2)</f>
        <v>0</v>
      </c>
      <c r="AI129" s="163" t="s">
        <v>53</v>
      </c>
      <c r="AJ129" s="161">
        <f>IF(AN129=0,J129,0)</f>
        <v>0</v>
      </c>
      <c r="AK129" s="161">
        <f>IF(AN129=12,J129,0)</f>
        <v>0</v>
      </c>
      <c r="AL129" s="161">
        <f>IF(AN129=21,J129,0)</f>
        <v>0</v>
      </c>
      <c r="AN129" s="161">
        <v>21</v>
      </c>
      <c r="AO129" s="161">
        <f>G129*0.363429885</f>
        <v>0</v>
      </c>
      <c r="AP129" s="161">
        <f>G129*(1-0.363429885)</f>
        <v>0</v>
      </c>
      <c r="AQ129" s="162" t="s">
        <v>114</v>
      </c>
      <c r="AV129" s="161">
        <f>ROUND(AW129+AX129,2)</f>
        <v>0</v>
      </c>
      <c r="AW129" s="161">
        <f>ROUND(F129*AO129,2)</f>
        <v>0</v>
      </c>
      <c r="AX129" s="161">
        <f>ROUND(F129*AP129,2)</f>
        <v>0</v>
      </c>
      <c r="AY129" s="162" t="s">
        <v>487</v>
      </c>
      <c r="AZ129" s="162" t="s">
        <v>440</v>
      </c>
      <c r="BA129" s="163" t="s">
        <v>117</v>
      </c>
      <c r="BC129" s="161">
        <f>AW129+AX129</f>
        <v>0</v>
      </c>
      <c r="BD129" s="161">
        <f>G129/(100-BE129)*100</f>
        <v>0</v>
      </c>
      <c r="BE129" s="161">
        <v>0</v>
      </c>
      <c r="BF129" s="161">
        <f>L129</f>
        <v>0.64205179999999995</v>
      </c>
      <c r="BH129" s="161">
        <f>F129*AO129</f>
        <v>0</v>
      </c>
      <c r="BI129" s="161">
        <f>F129*AP129</f>
        <v>0</v>
      </c>
      <c r="BJ129" s="161">
        <f>F129*G129</f>
        <v>0</v>
      </c>
      <c r="BK129" s="162" t="s">
        <v>116</v>
      </c>
      <c r="BL129" s="161">
        <v>94</v>
      </c>
      <c r="BW129" s="161">
        <v>21</v>
      </c>
      <c r="BX129" s="160" t="s">
        <v>486</v>
      </c>
    </row>
    <row r="130" spans="1:76" x14ac:dyDescent="0.25">
      <c r="A130" s="179"/>
      <c r="C130" s="178" t="s">
        <v>485</v>
      </c>
      <c r="D130" s="178" t="s">
        <v>195</v>
      </c>
      <c r="F130" s="177">
        <v>101.27</v>
      </c>
      <c r="M130" s="176"/>
    </row>
    <row r="131" spans="1:76" x14ac:dyDescent="0.25">
      <c r="A131" s="175" t="s">
        <v>53</v>
      </c>
      <c r="B131" s="174" t="s">
        <v>134</v>
      </c>
      <c r="C131" s="173" t="s">
        <v>484</v>
      </c>
      <c r="D131" s="172"/>
      <c r="E131" s="171" t="s">
        <v>1</v>
      </c>
      <c r="F131" s="171" t="s">
        <v>1</v>
      </c>
      <c r="G131" s="171" t="s">
        <v>1</v>
      </c>
      <c r="H131" s="169">
        <f>ROUND(SUM(H132:H148),2)</f>
        <v>0</v>
      </c>
      <c r="I131" s="169">
        <f>ROUND(SUM(I132:I148),2)</f>
        <v>0</v>
      </c>
      <c r="J131" s="169">
        <f>ROUND(SUM(J132:J148),2)</f>
        <v>0</v>
      </c>
      <c r="K131" s="163" t="s">
        <v>53</v>
      </c>
      <c r="L131" s="169">
        <f>SUM(L132:L148)</f>
        <v>5.5466450000000007</v>
      </c>
      <c r="M131" s="170" t="s">
        <v>53</v>
      </c>
      <c r="AI131" s="163" t="s">
        <v>53</v>
      </c>
      <c r="AS131" s="169">
        <f>SUM(AJ132:AJ148)</f>
        <v>0</v>
      </c>
      <c r="AT131" s="169">
        <f>SUM(AK132:AK148)</f>
        <v>0</v>
      </c>
      <c r="AU131" s="169">
        <f>SUM(AL132:AL148)</f>
        <v>0</v>
      </c>
    </row>
    <row r="132" spans="1:76" x14ac:dyDescent="0.25">
      <c r="A132" s="168" t="s">
        <v>483</v>
      </c>
      <c r="B132" s="167" t="s">
        <v>482</v>
      </c>
      <c r="C132" s="88" t="s">
        <v>481</v>
      </c>
      <c r="D132" s="87"/>
      <c r="E132" s="167" t="s">
        <v>167</v>
      </c>
      <c r="F132" s="161">
        <v>117.88</v>
      </c>
      <c r="G132" s="165">
        <v>0</v>
      </c>
      <c r="H132" s="161">
        <f>ROUND(F132*AO132,2)</f>
        <v>0</v>
      </c>
      <c r="I132" s="161">
        <f>ROUND(F132*AP132,2)</f>
        <v>0</v>
      </c>
      <c r="J132" s="161">
        <f>ROUND(F132*G132,2)</f>
        <v>0</v>
      </c>
      <c r="K132" s="161">
        <v>0</v>
      </c>
      <c r="L132" s="161">
        <f>F132*K132</f>
        <v>0</v>
      </c>
      <c r="M132" s="164" t="s">
        <v>121</v>
      </c>
      <c r="Z132" s="161">
        <f>ROUND(IF(AQ132="5",BJ132,0),2)</f>
        <v>0</v>
      </c>
      <c r="AB132" s="161">
        <f>ROUND(IF(AQ132="1",BH132,0),2)</f>
        <v>0</v>
      </c>
      <c r="AC132" s="161">
        <f>ROUND(IF(AQ132="1",BI132,0),2)</f>
        <v>0</v>
      </c>
      <c r="AD132" s="161">
        <f>ROUND(IF(AQ132="7",BH132,0),2)</f>
        <v>0</v>
      </c>
      <c r="AE132" s="161">
        <f>ROUND(IF(AQ132="7",BI132,0),2)</f>
        <v>0</v>
      </c>
      <c r="AF132" s="161">
        <f>ROUND(IF(AQ132="2",BH132,0),2)</f>
        <v>0</v>
      </c>
      <c r="AG132" s="161">
        <f>ROUND(IF(AQ132="2",BI132,0),2)</f>
        <v>0</v>
      </c>
      <c r="AH132" s="161">
        <f>ROUND(IF(AQ132="0",BJ132,0),2)</f>
        <v>0</v>
      </c>
      <c r="AI132" s="163" t="s">
        <v>53</v>
      </c>
      <c r="AJ132" s="161">
        <f>IF(AN132=0,J132,0)</f>
        <v>0</v>
      </c>
      <c r="AK132" s="161">
        <f>IF(AN132=12,J132,0)</f>
        <v>0</v>
      </c>
      <c r="AL132" s="161">
        <f>IF(AN132=21,J132,0)</f>
        <v>0</v>
      </c>
      <c r="AN132" s="161">
        <v>21</v>
      </c>
      <c r="AO132" s="161">
        <f>G132*0.001523123</f>
        <v>0</v>
      </c>
      <c r="AP132" s="161">
        <f>G132*(1-0.001523123)</f>
        <v>0</v>
      </c>
      <c r="AQ132" s="162" t="s">
        <v>114</v>
      </c>
      <c r="AV132" s="161">
        <f>ROUND(AW132+AX132,2)</f>
        <v>0</v>
      </c>
      <c r="AW132" s="161">
        <f>ROUND(F132*AO132,2)</f>
        <v>0</v>
      </c>
      <c r="AX132" s="161">
        <f>ROUND(F132*AP132,2)</f>
        <v>0</v>
      </c>
      <c r="AY132" s="162" t="s">
        <v>447</v>
      </c>
      <c r="AZ132" s="162" t="s">
        <v>440</v>
      </c>
      <c r="BA132" s="163" t="s">
        <v>117</v>
      </c>
      <c r="BC132" s="161">
        <f>AW132+AX132</f>
        <v>0</v>
      </c>
      <c r="BD132" s="161">
        <f>G132/(100-BE132)*100</f>
        <v>0</v>
      </c>
      <c r="BE132" s="161">
        <v>0</v>
      </c>
      <c r="BF132" s="161">
        <f>L132</f>
        <v>0</v>
      </c>
      <c r="BH132" s="161">
        <f>F132*AO132</f>
        <v>0</v>
      </c>
      <c r="BI132" s="161">
        <f>F132*AP132</f>
        <v>0</v>
      </c>
      <c r="BJ132" s="161">
        <f>F132*G132</f>
        <v>0</v>
      </c>
      <c r="BK132" s="162" t="s">
        <v>116</v>
      </c>
      <c r="BL132" s="161">
        <v>95</v>
      </c>
      <c r="BW132" s="161">
        <v>21</v>
      </c>
      <c r="BX132" s="160" t="s">
        <v>481</v>
      </c>
    </row>
    <row r="133" spans="1:76" x14ac:dyDescent="0.25">
      <c r="A133" s="179"/>
      <c r="C133" s="178" t="s">
        <v>480</v>
      </c>
      <c r="D133" s="178" t="s">
        <v>479</v>
      </c>
      <c r="F133" s="177">
        <v>117.88</v>
      </c>
      <c r="M133" s="176"/>
    </row>
    <row r="134" spans="1:76" x14ac:dyDescent="0.25">
      <c r="A134" s="168" t="s">
        <v>478</v>
      </c>
      <c r="B134" s="167" t="s">
        <v>477</v>
      </c>
      <c r="C134" s="88" t="s">
        <v>476</v>
      </c>
      <c r="D134" s="87"/>
      <c r="E134" s="167" t="s">
        <v>217</v>
      </c>
      <c r="F134" s="161">
        <v>1467.5</v>
      </c>
      <c r="G134" s="165">
        <v>0</v>
      </c>
      <c r="H134" s="161">
        <f>ROUND(F134*AO134,2)</f>
        <v>0</v>
      </c>
      <c r="I134" s="161">
        <f>ROUND(F134*AP134,2)</f>
        <v>0</v>
      </c>
      <c r="J134" s="161">
        <f>ROUND(F134*G134,2)</f>
        <v>0</v>
      </c>
      <c r="K134" s="161">
        <v>1E-3</v>
      </c>
      <c r="L134" s="161">
        <f>F134*K134</f>
        <v>1.4675</v>
      </c>
      <c r="M134" s="164" t="s">
        <v>179</v>
      </c>
      <c r="Z134" s="161">
        <f>ROUND(IF(AQ134="5",BJ134,0),2)</f>
        <v>0</v>
      </c>
      <c r="AB134" s="161">
        <f>ROUND(IF(AQ134="1",BH134,0),2)</f>
        <v>0</v>
      </c>
      <c r="AC134" s="161">
        <f>ROUND(IF(AQ134="1",BI134,0),2)</f>
        <v>0</v>
      </c>
      <c r="AD134" s="161">
        <f>ROUND(IF(AQ134="7",BH134,0),2)</f>
        <v>0</v>
      </c>
      <c r="AE134" s="161">
        <f>ROUND(IF(AQ134="7",BI134,0),2)</f>
        <v>0</v>
      </c>
      <c r="AF134" s="161">
        <f>ROUND(IF(AQ134="2",BH134,0),2)</f>
        <v>0</v>
      </c>
      <c r="AG134" s="161">
        <f>ROUND(IF(AQ134="2",BI134,0),2)</f>
        <v>0</v>
      </c>
      <c r="AH134" s="161">
        <f>ROUND(IF(AQ134="0",BJ134,0),2)</f>
        <v>0</v>
      </c>
      <c r="AI134" s="163" t="s">
        <v>53</v>
      </c>
      <c r="AJ134" s="161">
        <f>IF(AN134=0,J134,0)</f>
        <v>0</v>
      </c>
      <c r="AK134" s="161">
        <f>IF(AN134=12,J134,0)</f>
        <v>0</v>
      </c>
      <c r="AL134" s="161">
        <f>IF(AN134=21,J134,0)</f>
        <v>0</v>
      </c>
      <c r="AN134" s="161">
        <v>21</v>
      </c>
      <c r="AO134" s="161">
        <f>G134*1</f>
        <v>0</v>
      </c>
      <c r="AP134" s="161">
        <f>G134*(1-1)</f>
        <v>0</v>
      </c>
      <c r="AQ134" s="162" t="s">
        <v>178</v>
      </c>
      <c r="AV134" s="161">
        <f>ROUND(AW134+AX134,2)</f>
        <v>0</v>
      </c>
      <c r="AW134" s="161">
        <f>ROUND(F134*AO134,2)</f>
        <v>0</v>
      </c>
      <c r="AX134" s="161">
        <f>ROUND(F134*AP134,2)</f>
        <v>0</v>
      </c>
      <c r="AY134" s="162" t="s">
        <v>447</v>
      </c>
      <c r="AZ134" s="162" t="s">
        <v>440</v>
      </c>
      <c r="BA134" s="163" t="s">
        <v>117</v>
      </c>
      <c r="BC134" s="161">
        <f>AW134+AX134</f>
        <v>0</v>
      </c>
      <c r="BD134" s="161">
        <f>G134/(100-BE134)*100</f>
        <v>0</v>
      </c>
      <c r="BE134" s="161">
        <v>0</v>
      </c>
      <c r="BF134" s="161">
        <f>L134</f>
        <v>1.4675</v>
      </c>
      <c r="BH134" s="161">
        <f>F134*AO134</f>
        <v>0</v>
      </c>
      <c r="BI134" s="161">
        <f>F134*AP134</f>
        <v>0</v>
      </c>
      <c r="BJ134" s="161">
        <f>F134*G134</f>
        <v>0</v>
      </c>
      <c r="BK134" s="162" t="s">
        <v>116</v>
      </c>
      <c r="BL134" s="161">
        <v>95</v>
      </c>
      <c r="BW134" s="161">
        <v>21</v>
      </c>
      <c r="BX134" s="160" t="s">
        <v>476</v>
      </c>
    </row>
    <row r="135" spans="1:76" x14ac:dyDescent="0.25">
      <c r="A135" s="179"/>
      <c r="C135" s="178" t="s">
        <v>475</v>
      </c>
      <c r="D135" s="178" t="s">
        <v>469</v>
      </c>
      <c r="F135" s="177">
        <v>1085</v>
      </c>
      <c r="M135" s="176"/>
    </row>
    <row r="136" spans="1:76" x14ac:dyDescent="0.25">
      <c r="A136" s="179"/>
      <c r="C136" s="178" t="s">
        <v>474</v>
      </c>
      <c r="D136" s="178" t="s">
        <v>467</v>
      </c>
      <c r="F136" s="177">
        <v>382.5</v>
      </c>
      <c r="M136" s="176"/>
    </row>
    <row r="137" spans="1:76" x14ac:dyDescent="0.25">
      <c r="A137" s="168" t="s">
        <v>473</v>
      </c>
      <c r="B137" s="167" t="s">
        <v>472</v>
      </c>
      <c r="C137" s="88" t="s">
        <v>471</v>
      </c>
      <c r="D137" s="87"/>
      <c r="E137" s="167" t="s">
        <v>217</v>
      </c>
      <c r="F137" s="161">
        <v>1614.25</v>
      </c>
      <c r="G137" s="165">
        <v>0</v>
      </c>
      <c r="H137" s="161">
        <f>ROUND(F137*AO137,2)</f>
        <v>0</v>
      </c>
      <c r="I137" s="161">
        <f>ROUND(F137*AP137,2)</f>
        <v>0</v>
      </c>
      <c r="J137" s="161">
        <f>ROUND(F137*G137,2)</f>
        <v>0</v>
      </c>
      <c r="K137" s="161">
        <v>2.5000000000000001E-3</v>
      </c>
      <c r="L137" s="161">
        <f>F137*K137</f>
        <v>4.0356250000000005</v>
      </c>
      <c r="M137" s="164" t="s">
        <v>179</v>
      </c>
      <c r="Z137" s="161">
        <f>ROUND(IF(AQ137="5",BJ137,0),2)</f>
        <v>0</v>
      </c>
      <c r="AB137" s="161">
        <f>ROUND(IF(AQ137="1",BH137,0),2)</f>
        <v>0</v>
      </c>
      <c r="AC137" s="161">
        <f>ROUND(IF(AQ137="1",BI137,0),2)</f>
        <v>0</v>
      </c>
      <c r="AD137" s="161">
        <f>ROUND(IF(AQ137="7",BH137,0),2)</f>
        <v>0</v>
      </c>
      <c r="AE137" s="161">
        <f>ROUND(IF(AQ137="7",BI137,0),2)</f>
        <v>0</v>
      </c>
      <c r="AF137" s="161">
        <f>ROUND(IF(AQ137="2",BH137,0),2)</f>
        <v>0</v>
      </c>
      <c r="AG137" s="161">
        <f>ROUND(IF(AQ137="2",BI137,0),2)</f>
        <v>0</v>
      </c>
      <c r="AH137" s="161">
        <f>ROUND(IF(AQ137="0",BJ137,0),2)</f>
        <v>0</v>
      </c>
      <c r="AI137" s="163" t="s">
        <v>53</v>
      </c>
      <c r="AJ137" s="161">
        <f>IF(AN137=0,J137,0)</f>
        <v>0</v>
      </c>
      <c r="AK137" s="161">
        <f>IF(AN137=12,J137,0)</f>
        <v>0</v>
      </c>
      <c r="AL137" s="161">
        <f>IF(AN137=21,J137,0)</f>
        <v>0</v>
      </c>
      <c r="AN137" s="161">
        <v>21</v>
      </c>
      <c r="AO137" s="161">
        <f>G137*1</f>
        <v>0</v>
      </c>
      <c r="AP137" s="161">
        <f>G137*(1-1)</f>
        <v>0</v>
      </c>
      <c r="AQ137" s="162" t="s">
        <v>178</v>
      </c>
      <c r="AV137" s="161">
        <f>ROUND(AW137+AX137,2)</f>
        <v>0</v>
      </c>
      <c r="AW137" s="161">
        <f>ROUND(F137*AO137,2)</f>
        <v>0</v>
      </c>
      <c r="AX137" s="161">
        <f>ROUND(F137*AP137,2)</f>
        <v>0</v>
      </c>
      <c r="AY137" s="162" t="s">
        <v>447</v>
      </c>
      <c r="AZ137" s="162" t="s">
        <v>440</v>
      </c>
      <c r="BA137" s="163" t="s">
        <v>117</v>
      </c>
      <c r="BC137" s="161">
        <f>AW137+AX137</f>
        <v>0</v>
      </c>
      <c r="BD137" s="161">
        <f>G137/(100-BE137)*100</f>
        <v>0</v>
      </c>
      <c r="BE137" s="161">
        <v>0</v>
      </c>
      <c r="BF137" s="161">
        <f>L137</f>
        <v>4.0356250000000005</v>
      </c>
      <c r="BH137" s="161">
        <f>F137*AO137</f>
        <v>0</v>
      </c>
      <c r="BI137" s="161">
        <f>F137*AP137</f>
        <v>0</v>
      </c>
      <c r="BJ137" s="161">
        <f>F137*G137</f>
        <v>0</v>
      </c>
      <c r="BK137" s="162" t="s">
        <v>116</v>
      </c>
      <c r="BL137" s="161">
        <v>95</v>
      </c>
      <c r="BW137" s="161">
        <v>21</v>
      </c>
      <c r="BX137" s="160" t="s">
        <v>471</v>
      </c>
    </row>
    <row r="138" spans="1:76" x14ac:dyDescent="0.25">
      <c r="A138" s="179"/>
      <c r="C138" s="178" t="s">
        <v>470</v>
      </c>
      <c r="D138" s="178" t="s">
        <v>469</v>
      </c>
      <c r="F138" s="177">
        <v>1193.5</v>
      </c>
      <c r="M138" s="176"/>
    </row>
    <row r="139" spans="1:76" x14ac:dyDescent="0.25">
      <c r="A139" s="179"/>
      <c r="C139" s="178" t="s">
        <v>468</v>
      </c>
      <c r="D139" s="178" t="s">
        <v>467</v>
      </c>
      <c r="F139" s="177">
        <v>420.75</v>
      </c>
      <c r="M139" s="176"/>
    </row>
    <row r="140" spans="1:76" x14ac:dyDescent="0.25">
      <c r="A140" s="168" t="s">
        <v>466</v>
      </c>
      <c r="B140" s="167" t="s">
        <v>465</v>
      </c>
      <c r="C140" s="88" t="s">
        <v>463</v>
      </c>
      <c r="D140" s="87"/>
      <c r="E140" s="167" t="s">
        <v>217</v>
      </c>
      <c r="F140" s="161">
        <v>250</v>
      </c>
      <c r="G140" s="165">
        <v>0</v>
      </c>
      <c r="H140" s="161">
        <f>ROUND(F140*AO140,2)</f>
        <v>0</v>
      </c>
      <c r="I140" s="161">
        <f>ROUND(F140*AP140,2)</f>
        <v>0</v>
      </c>
      <c r="J140" s="161">
        <f>ROUND(F140*G140,2)</f>
        <v>0</v>
      </c>
      <c r="K140" s="161">
        <v>1.4999999999999999E-4</v>
      </c>
      <c r="L140" s="161">
        <f>F140*K140</f>
        <v>3.7499999999999999E-2</v>
      </c>
      <c r="M140" s="164" t="s">
        <v>464</v>
      </c>
      <c r="Z140" s="161">
        <f>ROUND(IF(AQ140="5",BJ140,0),2)</f>
        <v>0</v>
      </c>
      <c r="AB140" s="161">
        <f>ROUND(IF(AQ140="1",BH140,0),2)</f>
        <v>0</v>
      </c>
      <c r="AC140" s="161">
        <f>ROUND(IF(AQ140="1",BI140,0),2)</f>
        <v>0</v>
      </c>
      <c r="AD140" s="161">
        <f>ROUND(IF(AQ140="7",BH140,0),2)</f>
        <v>0</v>
      </c>
      <c r="AE140" s="161">
        <f>ROUND(IF(AQ140="7",BI140,0),2)</f>
        <v>0</v>
      </c>
      <c r="AF140" s="161">
        <f>ROUND(IF(AQ140="2",BH140,0),2)</f>
        <v>0</v>
      </c>
      <c r="AG140" s="161">
        <f>ROUND(IF(AQ140="2",BI140,0),2)</f>
        <v>0</v>
      </c>
      <c r="AH140" s="161">
        <f>ROUND(IF(AQ140="0",BJ140,0),2)</f>
        <v>0</v>
      </c>
      <c r="AI140" s="163" t="s">
        <v>53</v>
      </c>
      <c r="AJ140" s="161">
        <f>IF(AN140=0,J140,0)</f>
        <v>0</v>
      </c>
      <c r="AK140" s="161">
        <f>IF(AN140=12,J140,0)</f>
        <v>0</v>
      </c>
      <c r="AL140" s="161">
        <f>IF(AN140=21,J140,0)</f>
        <v>0</v>
      </c>
      <c r="AN140" s="161">
        <v>21</v>
      </c>
      <c r="AO140" s="161">
        <f>G140*1</f>
        <v>0</v>
      </c>
      <c r="AP140" s="161">
        <f>G140*(1-1)</f>
        <v>0</v>
      </c>
      <c r="AQ140" s="162" t="s">
        <v>178</v>
      </c>
      <c r="AV140" s="161">
        <f>ROUND(AW140+AX140,2)</f>
        <v>0</v>
      </c>
      <c r="AW140" s="161">
        <f>ROUND(F140*AO140,2)</f>
        <v>0</v>
      </c>
      <c r="AX140" s="161">
        <f>ROUND(F140*AP140,2)</f>
        <v>0</v>
      </c>
      <c r="AY140" s="162" t="s">
        <v>447</v>
      </c>
      <c r="AZ140" s="162" t="s">
        <v>440</v>
      </c>
      <c r="BA140" s="163" t="s">
        <v>117</v>
      </c>
      <c r="BC140" s="161">
        <f>AW140+AX140</f>
        <v>0</v>
      </c>
      <c r="BD140" s="161">
        <f>G140/(100-BE140)*100</f>
        <v>0</v>
      </c>
      <c r="BE140" s="161">
        <v>0</v>
      </c>
      <c r="BF140" s="161">
        <f>L140</f>
        <v>3.7499999999999999E-2</v>
      </c>
      <c r="BH140" s="161">
        <f>F140*AO140</f>
        <v>0</v>
      </c>
      <c r="BI140" s="161">
        <f>F140*AP140</f>
        <v>0</v>
      </c>
      <c r="BJ140" s="161">
        <f>F140*G140</f>
        <v>0</v>
      </c>
      <c r="BK140" s="162" t="s">
        <v>116</v>
      </c>
      <c r="BL140" s="161">
        <v>95</v>
      </c>
      <c r="BW140" s="161">
        <v>21</v>
      </c>
      <c r="BX140" s="160" t="s">
        <v>463</v>
      </c>
    </row>
    <row r="141" spans="1:76" x14ac:dyDescent="0.25">
      <c r="A141" s="179"/>
      <c r="C141" s="178" t="s">
        <v>261</v>
      </c>
      <c r="D141" s="178" t="s">
        <v>462</v>
      </c>
      <c r="F141" s="177">
        <v>250</v>
      </c>
      <c r="M141" s="176"/>
    </row>
    <row r="142" spans="1:76" x14ac:dyDescent="0.25">
      <c r="A142" s="168" t="s">
        <v>461</v>
      </c>
      <c r="B142" s="167" t="s">
        <v>460</v>
      </c>
      <c r="C142" s="88" t="s">
        <v>458</v>
      </c>
      <c r="D142" s="87"/>
      <c r="E142" s="167" t="s">
        <v>459</v>
      </c>
      <c r="F142" s="161">
        <v>16</v>
      </c>
      <c r="G142" s="165">
        <v>0</v>
      </c>
      <c r="H142" s="161">
        <f>ROUND(F142*AO142,2)</f>
        <v>0</v>
      </c>
      <c r="I142" s="161">
        <f>ROUND(F142*AP142,2)</f>
        <v>0</v>
      </c>
      <c r="J142" s="161">
        <f>ROUND(F142*G142,2)</f>
        <v>0</v>
      </c>
      <c r="K142" s="161">
        <v>0</v>
      </c>
      <c r="L142" s="161">
        <f>F142*K142</f>
        <v>0</v>
      </c>
      <c r="M142" s="164" t="s">
        <v>121</v>
      </c>
      <c r="Z142" s="161">
        <f>ROUND(IF(AQ142="5",BJ142,0),2)</f>
        <v>0</v>
      </c>
      <c r="AB142" s="161">
        <f>ROUND(IF(AQ142="1",BH142,0),2)</f>
        <v>0</v>
      </c>
      <c r="AC142" s="161">
        <f>ROUND(IF(AQ142="1",BI142,0),2)</f>
        <v>0</v>
      </c>
      <c r="AD142" s="161">
        <f>ROUND(IF(AQ142="7",BH142,0),2)</f>
        <v>0</v>
      </c>
      <c r="AE142" s="161">
        <f>ROUND(IF(AQ142="7",BI142,0),2)</f>
        <v>0</v>
      </c>
      <c r="AF142" s="161">
        <f>ROUND(IF(AQ142="2",BH142,0),2)</f>
        <v>0</v>
      </c>
      <c r="AG142" s="161">
        <f>ROUND(IF(AQ142="2",BI142,0),2)</f>
        <v>0</v>
      </c>
      <c r="AH142" s="161">
        <f>ROUND(IF(AQ142="0",BJ142,0),2)</f>
        <v>0</v>
      </c>
      <c r="AI142" s="163" t="s">
        <v>53</v>
      </c>
      <c r="AJ142" s="161">
        <f>IF(AN142=0,J142,0)</f>
        <v>0</v>
      </c>
      <c r="AK142" s="161">
        <f>IF(AN142=12,J142,0)</f>
        <v>0</v>
      </c>
      <c r="AL142" s="161">
        <f>IF(AN142=21,J142,0)</f>
        <v>0</v>
      </c>
      <c r="AN142" s="161">
        <v>21</v>
      </c>
      <c r="AO142" s="161">
        <f>G142*0</f>
        <v>0</v>
      </c>
      <c r="AP142" s="161">
        <f>G142*(1-0)</f>
        <v>0</v>
      </c>
      <c r="AQ142" s="162" t="s">
        <v>114</v>
      </c>
      <c r="AV142" s="161">
        <f>ROUND(AW142+AX142,2)</f>
        <v>0</v>
      </c>
      <c r="AW142" s="161">
        <f>ROUND(F142*AO142,2)</f>
        <v>0</v>
      </c>
      <c r="AX142" s="161">
        <f>ROUND(F142*AP142,2)</f>
        <v>0</v>
      </c>
      <c r="AY142" s="162" t="s">
        <v>447</v>
      </c>
      <c r="AZ142" s="162" t="s">
        <v>440</v>
      </c>
      <c r="BA142" s="163" t="s">
        <v>117</v>
      </c>
      <c r="BC142" s="161">
        <f>AW142+AX142</f>
        <v>0</v>
      </c>
      <c r="BD142" s="161">
        <f>G142/(100-BE142)*100</f>
        <v>0</v>
      </c>
      <c r="BE142" s="161">
        <v>0</v>
      </c>
      <c r="BF142" s="161">
        <f>L142</f>
        <v>0</v>
      </c>
      <c r="BH142" s="161">
        <f>F142*AO142</f>
        <v>0</v>
      </c>
      <c r="BI142" s="161">
        <f>F142*AP142</f>
        <v>0</v>
      </c>
      <c r="BJ142" s="161">
        <f>F142*G142</f>
        <v>0</v>
      </c>
      <c r="BK142" s="162" t="s">
        <v>116</v>
      </c>
      <c r="BL142" s="161">
        <v>95</v>
      </c>
      <c r="BW142" s="161">
        <v>21</v>
      </c>
      <c r="BX142" s="160" t="s">
        <v>458</v>
      </c>
    </row>
    <row r="143" spans="1:76" x14ac:dyDescent="0.25">
      <c r="A143" s="179"/>
      <c r="C143" s="178" t="s">
        <v>457</v>
      </c>
      <c r="D143" s="178" t="s">
        <v>456</v>
      </c>
      <c r="F143" s="177">
        <v>16</v>
      </c>
      <c r="M143" s="176"/>
    </row>
    <row r="144" spans="1:76" x14ac:dyDescent="0.25">
      <c r="A144" s="168" t="s">
        <v>455</v>
      </c>
      <c r="B144" s="167" t="s">
        <v>454</v>
      </c>
      <c r="C144" s="88" t="s">
        <v>453</v>
      </c>
      <c r="D144" s="87"/>
      <c r="E144" s="167" t="s">
        <v>211</v>
      </c>
      <c r="F144" s="161">
        <v>2</v>
      </c>
      <c r="G144" s="165">
        <v>0</v>
      </c>
      <c r="H144" s="161">
        <f>ROUND(F144*AO144,2)</f>
        <v>0</v>
      </c>
      <c r="I144" s="161">
        <f>ROUND(F144*AP144,2)</f>
        <v>0</v>
      </c>
      <c r="J144" s="161">
        <f>ROUND(F144*G144,2)</f>
        <v>0</v>
      </c>
      <c r="K144" s="161">
        <v>3.0000000000000001E-3</v>
      </c>
      <c r="L144" s="161">
        <f>F144*K144</f>
        <v>6.0000000000000001E-3</v>
      </c>
      <c r="M144" s="164" t="s">
        <v>121</v>
      </c>
      <c r="Z144" s="161">
        <f>ROUND(IF(AQ144="5",BJ144,0),2)</f>
        <v>0</v>
      </c>
      <c r="AB144" s="161">
        <f>ROUND(IF(AQ144="1",BH144,0),2)</f>
        <v>0</v>
      </c>
      <c r="AC144" s="161">
        <f>ROUND(IF(AQ144="1",BI144,0),2)</f>
        <v>0</v>
      </c>
      <c r="AD144" s="161">
        <f>ROUND(IF(AQ144="7",BH144,0),2)</f>
        <v>0</v>
      </c>
      <c r="AE144" s="161">
        <f>ROUND(IF(AQ144="7",BI144,0),2)</f>
        <v>0</v>
      </c>
      <c r="AF144" s="161">
        <f>ROUND(IF(AQ144="2",BH144,0),2)</f>
        <v>0</v>
      </c>
      <c r="AG144" s="161">
        <f>ROUND(IF(AQ144="2",BI144,0),2)</f>
        <v>0</v>
      </c>
      <c r="AH144" s="161">
        <f>ROUND(IF(AQ144="0",BJ144,0),2)</f>
        <v>0</v>
      </c>
      <c r="AI144" s="163" t="s">
        <v>53</v>
      </c>
      <c r="AJ144" s="161">
        <f>IF(AN144=0,J144,0)</f>
        <v>0</v>
      </c>
      <c r="AK144" s="161">
        <f>IF(AN144=12,J144,0)</f>
        <v>0</v>
      </c>
      <c r="AL144" s="161">
        <f>IF(AN144=21,J144,0)</f>
        <v>0</v>
      </c>
      <c r="AN144" s="161">
        <v>21</v>
      </c>
      <c r="AO144" s="161">
        <f>G144*1</f>
        <v>0</v>
      </c>
      <c r="AP144" s="161">
        <f>G144*(1-1)</f>
        <v>0</v>
      </c>
      <c r="AQ144" s="162" t="s">
        <v>114</v>
      </c>
      <c r="AV144" s="161">
        <f>ROUND(AW144+AX144,2)</f>
        <v>0</v>
      </c>
      <c r="AW144" s="161">
        <f>ROUND(F144*AO144,2)</f>
        <v>0</v>
      </c>
      <c r="AX144" s="161">
        <f>ROUND(F144*AP144,2)</f>
        <v>0</v>
      </c>
      <c r="AY144" s="162" t="s">
        <v>447</v>
      </c>
      <c r="AZ144" s="162" t="s">
        <v>440</v>
      </c>
      <c r="BA144" s="163" t="s">
        <v>117</v>
      </c>
      <c r="BC144" s="161">
        <f>AW144+AX144</f>
        <v>0</v>
      </c>
      <c r="BD144" s="161">
        <f>G144/(100-BE144)*100</f>
        <v>0</v>
      </c>
      <c r="BE144" s="161">
        <v>0</v>
      </c>
      <c r="BF144" s="161">
        <f>L144</f>
        <v>6.0000000000000001E-3</v>
      </c>
      <c r="BH144" s="161">
        <f>F144*AO144</f>
        <v>0</v>
      </c>
      <c r="BI144" s="161">
        <f>F144*AP144</f>
        <v>0</v>
      </c>
      <c r="BJ144" s="161">
        <f>F144*G144</f>
        <v>0</v>
      </c>
      <c r="BK144" s="162" t="s">
        <v>246</v>
      </c>
      <c r="BL144" s="161">
        <v>95</v>
      </c>
      <c r="BW144" s="161">
        <v>21</v>
      </c>
      <c r="BX144" s="160" t="s">
        <v>453</v>
      </c>
    </row>
    <row r="145" spans="1:76" x14ac:dyDescent="0.25">
      <c r="A145" s="179"/>
      <c r="C145" s="178" t="s">
        <v>178</v>
      </c>
      <c r="D145" s="178" t="s">
        <v>445</v>
      </c>
      <c r="F145" s="177">
        <v>2</v>
      </c>
      <c r="M145" s="176"/>
    </row>
    <row r="146" spans="1:76" x14ac:dyDescent="0.25">
      <c r="A146" s="168" t="s">
        <v>452</v>
      </c>
      <c r="B146" s="167" t="s">
        <v>451</v>
      </c>
      <c r="C146" s="88" t="s">
        <v>450</v>
      </c>
      <c r="D146" s="87"/>
      <c r="E146" s="167" t="s">
        <v>211</v>
      </c>
      <c r="F146" s="161">
        <v>2</v>
      </c>
      <c r="G146" s="165">
        <v>0</v>
      </c>
      <c r="H146" s="161">
        <f>ROUND(F146*AO146,2)</f>
        <v>0</v>
      </c>
      <c r="I146" s="161">
        <f>ROUND(F146*AP146,2)</f>
        <v>0</v>
      </c>
      <c r="J146" s="161">
        <f>ROUND(F146*G146,2)</f>
        <v>0</v>
      </c>
      <c r="K146" s="161">
        <v>1.0000000000000001E-5</v>
      </c>
      <c r="L146" s="161">
        <f>F146*K146</f>
        <v>2.0000000000000002E-5</v>
      </c>
      <c r="M146" s="164" t="s">
        <v>121</v>
      </c>
      <c r="Z146" s="161">
        <f>ROUND(IF(AQ146="5",BJ146,0),2)</f>
        <v>0</v>
      </c>
      <c r="AB146" s="161">
        <f>ROUND(IF(AQ146="1",BH146,0),2)</f>
        <v>0</v>
      </c>
      <c r="AC146" s="161">
        <f>ROUND(IF(AQ146="1",BI146,0),2)</f>
        <v>0</v>
      </c>
      <c r="AD146" s="161">
        <f>ROUND(IF(AQ146="7",BH146,0),2)</f>
        <v>0</v>
      </c>
      <c r="AE146" s="161">
        <f>ROUND(IF(AQ146="7",BI146,0),2)</f>
        <v>0</v>
      </c>
      <c r="AF146" s="161">
        <f>ROUND(IF(AQ146="2",BH146,0),2)</f>
        <v>0</v>
      </c>
      <c r="AG146" s="161">
        <f>ROUND(IF(AQ146="2",BI146,0),2)</f>
        <v>0</v>
      </c>
      <c r="AH146" s="161">
        <f>ROUND(IF(AQ146="0",BJ146,0),2)</f>
        <v>0</v>
      </c>
      <c r="AI146" s="163" t="s">
        <v>53</v>
      </c>
      <c r="AJ146" s="161">
        <f>IF(AN146=0,J146,0)</f>
        <v>0</v>
      </c>
      <c r="AK146" s="161">
        <f>IF(AN146=12,J146,0)</f>
        <v>0</v>
      </c>
      <c r="AL146" s="161">
        <f>IF(AN146=21,J146,0)</f>
        <v>0</v>
      </c>
      <c r="AN146" s="161">
        <v>21</v>
      </c>
      <c r="AO146" s="161">
        <f>G146*0.140526316</f>
        <v>0</v>
      </c>
      <c r="AP146" s="161">
        <f>G146*(1-0.140526316)</f>
        <v>0</v>
      </c>
      <c r="AQ146" s="162" t="s">
        <v>114</v>
      </c>
      <c r="AV146" s="161">
        <f>ROUND(AW146+AX146,2)</f>
        <v>0</v>
      </c>
      <c r="AW146" s="161">
        <f>ROUND(F146*AO146,2)</f>
        <v>0</v>
      </c>
      <c r="AX146" s="161">
        <f>ROUND(F146*AP146,2)</f>
        <v>0</v>
      </c>
      <c r="AY146" s="162" t="s">
        <v>447</v>
      </c>
      <c r="AZ146" s="162" t="s">
        <v>440</v>
      </c>
      <c r="BA146" s="163" t="s">
        <v>117</v>
      </c>
      <c r="BC146" s="161">
        <f>AW146+AX146</f>
        <v>0</v>
      </c>
      <c r="BD146" s="161">
        <f>G146/(100-BE146)*100</f>
        <v>0</v>
      </c>
      <c r="BE146" s="161">
        <v>0</v>
      </c>
      <c r="BF146" s="161">
        <f>L146</f>
        <v>2.0000000000000002E-5</v>
      </c>
      <c r="BH146" s="161">
        <f>F146*AO146</f>
        <v>0</v>
      </c>
      <c r="BI146" s="161">
        <f>F146*AP146</f>
        <v>0</v>
      </c>
      <c r="BJ146" s="161">
        <f>F146*G146</f>
        <v>0</v>
      </c>
      <c r="BK146" s="162" t="s">
        <v>116</v>
      </c>
      <c r="BL146" s="161">
        <v>95</v>
      </c>
      <c r="BW146" s="161">
        <v>21</v>
      </c>
      <c r="BX146" s="160" t="s">
        <v>450</v>
      </c>
    </row>
    <row r="147" spans="1:76" x14ac:dyDescent="0.25">
      <c r="A147" s="179"/>
      <c r="C147" s="178" t="s">
        <v>178</v>
      </c>
      <c r="D147" s="178" t="s">
        <v>445</v>
      </c>
      <c r="F147" s="177">
        <v>2</v>
      </c>
      <c r="M147" s="176"/>
    </row>
    <row r="148" spans="1:76" x14ac:dyDescent="0.25">
      <c r="A148" s="168" t="s">
        <v>449</v>
      </c>
      <c r="B148" s="167" t="s">
        <v>448</v>
      </c>
      <c r="C148" s="88" t="s">
        <v>446</v>
      </c>
      <c r="D148" s="87"/>
      <c r="E148" s="167" t="s">
        <v>211</v>
      </c>
      <c r="F148" s="161">
        <v>2</v>
      </c>
      <c r="G148" s="165">
        <v>0</v>
      </c>
      <c r="H148" s="161">
        <f>ROUND(F148*AO148,2)</f>
        <v>0</v>
      </c>
      <c r="I148" s="161">
        <f>ROUND(F148*AP148,2)</f>
        <v>0</v>
      </c>
      <c r="J148" s="161">
        <f>ROUND(F148*G148,2)</f>
        <v>0</v>
      </c>
      <c r="K148" s="161">
        <v>0</v>
      </c>
      <c r="L148" s="161">
        <f>F148*K148</f>
        <v>0</v>
      </c>
      <c r="M148" s="164" t="s">
        <v>121</v>
      </c>
      <c r="Z148" s="161">
        <f>ROUND(IF(AQ148="5",BJ148,0),2)</f>
        <v>0</v>
      </c>
      <c r="AB148" s="161">
        <f>ROUND(IF(AQ148="1",BH148,0),2)</f>
        <v>0</v>
      </c>
      <c r="AC148" s="161">
        <f>ROUND(IF(AQ148="1",BI148,0),2)</f>
        <v>0</v>
      </c>
      <c r="AD148" s="161">
        <f>ROUND(IF(AQ148="7",BH148,0),2)</f>
        <v>0</v>
      </c>
      <c r="AE148" s="161">
        <f>ROUND(IF(AQ148="7",BI148,0),2)</f>
        <v>0</v>
      </c>
      <c r="AF148" s="161">
        <f>ROUND(IF(AQ148="2",BH148,0),2)</f>
        <v>0</v>
      </c>
      <c r="AG148" s="161">
        <f>ROUND(IF(AQ148="2",BI148,0),2)</f>
        <v>0</v>
      </c>
      <c r="AH148" s="161">
        <f>ROUND(IF(AQ148="0",BJ148,0),2)</f>
        <v>0</v>
      </c>
      <c r="AI148" s="163" t="s">
        <v>53</v>
      </c>
      <c r="AJ148" s="161">
        <f>IF(AN148=0,J148,0)</f>
        <v>0</v>
      </c>
      <c r="AK148" s="161">
        <f>IF(AN148=12,J148,0)</f>
        <v>0</v>
      </c>
      <c r="AL148" s="161">
        <f>IF(AN148=21,J148,0)</f>
        <v>0</v>
      </c>
      <c r="AN148" s="161">
        <v>21</v>
      </c>
      <c r="AO148" s="161">
        <f>G148*0</f>
        <v>0</v>
      </c>
      <c r="AP148" s="161">
        <f>G148*(1-0)</f>
        <v>0</v>
      </c>
      <c r="AQ148" s="162" t="s">
        <v>114</v>
      </c>
      <c r="AV148" s="161">
        <f>ROUND(AW148+AX148,2)</f>
        <v>0</v>
      </c>
      <c r="AW148" s="161">
        <f>ROUND(F148*AO148,2)</f>
        <v>0</v>
      </c>
      <c r="AX148" s="161">
        <f>ROUND(F148*AP148,2)</f>
        <v>0</v>
      </c>
      <c r="AY148" s="162" t="s">
        <v>447</v>
      </c>
      <c r="AZ148" s="162" t="s">
        <v>440</v>
      </c>
      <c r="BA148" s="163" t="s">
        <v>117</v>
      </c>
      <c r="BC148" s="161">
        <f>AW148+AX148</f>
        <v>0</v>
      </c>
      <c r="BD148" s="161">
        <f>G148/(100-BE148)*100</f>
        <v>0</v>
      </c>
      <c r="BE148" s="161">
        <v>0</v>
      </c>
      <c r="BF148" s="161">
        <f>L148</f>
        <v>0</v>
      </c>
      <c r="BH148" s="161">
        <f>F148*AO148</f>
        <v>0</v>
      </c>
      <c r="BI148" s="161">
        <f>F148*AP148</f>
        <v>0</v>
      </c>
      <c r="BJ148" s="161">
        <f>F148*G148</f>
        <v>0</v>
      </c>
      <c r="BK148" s="162" t="s">
        <v>116</v>
      </c>
      <c r="BL148" s="161">
        <v>95</v>
      </c>
      <c r="BW148" s="161">
        <v>21</v>
      </c>
      <c r="BX148" s="160" t="s">
        <v>446</v>
      </c>
    </row>
    <row r="149" spans="1:76" x14ac:dyDescent="0.25">
      <c r="A149" s="179"/>
      <c r="C149" s="178" t="s">
        <v>178</v>
      </c>
      <c r="D149" s="178" t="s">
        <v>445</v>
      </c>
      <c r="F149" s="177">
        <v>2</v>
      </c>
      <c r="M149" s="176"/>
    </row>
    <row r="150" spans="1:76" x14ac:dyDescent="0.25">
      <c r="A150" s="175" t="s">
        <v>53</v>
      </c>
      <c r="B150" s="174" t="s">
        <v>120</v>
      </c>
      <c r="C150" s="173" t="s">
        <v>444</v>
      </c>
      <c r="D150" s="172"/>
      <c r="E150" s="171" t="s">
        <v>1</v>
      </c>
      <c r="F150" s="171" t="s">
        <v>1</v>
      </c>
      <c r="G150" s="171" t="s">
        <v>1</v>
      </c>
      <c r="H150" s="169">
        <f>ROUND(SUM(H151:H151),2)</f>
        <v>0</v>
      </c>
      <c r="I150" s="169">
        <f>ROUND(SUM(I151:I151),2)</f>
        <v>0</v>
      </c>
      <c r="J150" s="169">
        <f>ROUND(SUM(J151:J151),2)</f>
        <v>0</v>
      </c>
      <c r="K150" s="163" t="s">
        <v>53</v>
      </c>
      <c r="L150" s="169">
        <f>SUM(L151:L151)</f>
        <v>0</v>
      </c>
      <c r="M150" s="170" t="s">
        <v>53</v>
      </c>
      <c r="AI150" s="163" t="s">
        <v>53</v>
      </c>
      <c r="AS150" s="169">
        <f>SUM(AJ151:AJ151)</f>
        <v>0</v>
      </c>
      <c r="AT150" s="169">
        <f>SUM(AK151:AK151)</f>
        <v>0</v>
      </c>
      <c r="AU150" s="169">
        <f>SUM(AL151:AL151)</f>
        <v>0</v>
      </c>
    </row>
    <row r="151" spans="1:76" x14ac:dyDescent="0.25">
      <c r="A151" s="168" t="s">
        <v>443</v>
      </c>
      <c r="B151" s="167" t="s">
        <v>442</v>
      </c>
      <c r="C151" s="88" t="s">
        <v>439</v>
      </c>
      <c r="D151" s="87"/>
      <c r="E151" s="167" t="s">
        <v>206</v>
      </c>
      <c r="F151" s="161">
        <v>84.8</v>
      </c>
      <c r="G151" s="165">
        <v>0</v>
      </c>
      <c r="H151" s="161">
        <f>ROUND(F151*AO151,2)</f>
        <v>0</v>
      </c>
      <c r="I151" s="161">
        <f>ROUND(F151*AP151,2)</f>
        <v>0</v>
      </c>
      <c r="J151" s="161">
        <f>ROUND(F151*G151,2)</f>
        <v>0</v>
      </c>
      <c r="K151" s="161">
        <v>0</v>
      </c>
      <c r="L151" s="161">
        <f>F151*K151</f>
        <v>0</v>
      </c>
      <c r="M151" s="164" t="s">
        <v>121</v>
      </c>
      <c r="Z151" s="161">
        <f>ROUND(IF(AQ151="5",BJ151,0),2)</f>
        <v>0</v>
      </c>
      <c r="AB151" s="161">
        <f>ROUND(IF(AQ151="1",BH151,0),2)</f>
        <v>0</v>
      </c>
      <c r="AC151" s="161">
        <f>ROUND(IF(AQ151="1",BI151,0),2)</f>
        <v>0</v>
      </c>
      <c r="AD151" s="161">
        <f>ROUND(IF(AQ151="7",BH151,0),2)</f>
        <v>0</v>
      </c>
      <c r="AE151" s="161">
        <f>ROUND(IF(AQ151="7",BI151,0),2)</f>
        <v>0</v>
      </c>
      <c r="AF151" s="161">
        <f>ROUND(IF(AQ151="2",BH151,0),2)</f>
        <v>0</v>
      </c>
      <c r="AG151" s="161">
        <f>ROUND(IF(AQ151="2",BI151,0),2)</f>
        <v>0</v>
      </c>
      <c r="AH151" s="161">
        <f>ROUND(IF(AQ151="0",BJ151,0),2)</f>
        <v>0</v>
      </c>
      <c r="AI151" s="163" t="s">
        <v>53</v>
      </c>
      <c r="AJ151" s="161">
        <f>IF(AN151=0,J151,0)</f>
        <v>0</v>
      </c>
      <c r="AK151" s="161">
        <f>IF(AN151=12,J151,0)</f>
        <v>0</v>
      </c>
      <c r="AL151" s="161">
        <f>IF(AN151=21,J151,0)</f>
        <v>0</v>
      </c>
      <c r="AN151" s="161">
        <v>21</v>
      </c>
      <c r="AO151" s="161">
        <f>G151*0</f>
        <v>0</v>
      </c>
      <c r="AP151" s="161">
        <f>G151*(1-0)</f>
        <v>0</v>
      </c>
      <c r="AQ151" s="162" t="s">
        <v>205</v>
      </c>
      <c r="AV151" s="161">
        <f>ROUND(AW151+AX151,2)</f>
        <v>0</v>
      </c>
      <c r="AW151" s="161">
        <f>ROUND(F151*AO151,2)</f>
        <v>0</v>
      </c>
      <c r="AX151" s="161">
        <f>ROUND(F151*AP151,2)</f>
        <v>0</v>
      </c>
      <c r="AY151" s="162" t="s">
        <v>441</v>
      </c>
      <c r="AZ151" s="162" t="s">
        <v>440</v>
      </c>
      <c r="BA151" s="163" t="s">
        <v>117</v>
      </c>
      <c r="BC151" s="161">
        <f>AW151+AX151</f>
        <v>0</v>
      </c>
      <c r="BD151" s="161">
        <f>G151/(100-BE151)*100</f>
        <v>0</v>
      </c>
      <c r="BE151" s="161">
        <v>0</v>
      </c>
      <c r="BF151" s="161">
        <f>L151</f>
        <v>0</v>
      </c>
      <c r="BH151" s="161">
        <f>F151*AO151</f>
        <v>0</v>
      </c>
      <c r="BI151" s="161">
        <f>F151*AP151</f>
        <v>0</v>
      </c>
      <c r="BJ151" s="161">
        <f>F151*G151</f>
        <v>0</v>
      </c>
      <c r="BK151" s="162" t="s">
        <v>116</v>
      </c>
      <c r="BL151" s="161">
        <v>99</v>
      </c>
      <c r="BW151" s="161">
        <v>21</v>
      </c>
      <c r="BX151" s="160" t="s">
        <v>439</v>
      </c>
    </row>
    <row r="152" spans="1:76" x14ac:dyDescent="0.25">
      <c r="A152" s="175" t="s">
        <v>53</v>
      </c>
      <c r="B152" s="174" t="s">
        <v>438</v>
      </c>
      <c r="C152" s="173" t="s">
        <v>437</v>
      </c>
      <c r="D152" s="172"/>
      <c r="E152" s="171" t="s">
        <v>1</v>
      </c>
      <c r="F152" s="171" t="s">
        <v>1</v>
      </c>
      <c r="G152" s="171" t="s">
        <v>1</v>
      </c>
      <c r="H152" s="169">
        <f>ROUND(SUM(H153:H171),2)</f>
        <v>0</v>
      </c>
      <c r="I152" s="169">
        <f>ROUND(SUM(I153:I171),2)</f>
        <v>0</v>
      </c>
      <c r="J152" s="169">
        <f>ROUND(SUM(J153:J171),2)</f>
        <v>0</v>
      </c>
      <c r="K152" s="163" t="s">
        <v>53</v>
      </c>
      <c r="L152" s="169">
        <f>SUM(L153:L171)</f>
        <v>0.17333239999999997</v>
      </c>
      <c r="M152" s="170" t="s">
        <v>53</v>
      </c>
      <c r="AI152" s="163" t="s">
        <v>53</v>
      </c>
      <c r="AS152" s="169">
        <f>SUM(AJ153:AJ171)</f>
        <v>0</v>
      </c>
      <c r="AT152" s="169">
        <f>SUM(AK153:AK171)</f>
        <v>0</v>
      </c>
      <c r="AU152" s="169">
        <f>SUM(AL153:AL171)</f>
        <v>0</v>
      </c>
    </row>
    <row r="153" spans="1:76" x14ac:dyDescent="0.25">
      <c r="A153" s="168" t="s">
        <v>436</v>
      </c>
      <c r="B153" s="167" t="s">
        <v>435</v>
      </c>
      <c r="C153" s="88" t="s">
        <v>434</v>
      </c>
      <c r="D153" s="87"/>
      <c r="E153" s="167" t="s">
        <v>167</v>
      </c>
      <c r="F153" s="161">
        <v>32.6</v>
      </c>
      <c r="G153" s="165">
        <v>0</v>
      </c>
      <c r="H153" s="161">
        <f>ROUND(F153*AO153,2)</f>
        <v>0</v>
      </c>
      <c r="I153" s="161">
        <f>ROUND(F153*AP153,2)</f>
        <v>0</v>
      </c>
      <c r="J153" s="161">
        <f>ROUND(F153*G153,2)</f>
        <v>0</v>
      </c>
      <c r="K153" s="161">
        <v>0</v>
      </c>
      <c r="L153" s="161">
        <f>F153*K153</f>
        <v>0</v>
      </c>
      <c r="M153" s="164" t="s">
        <v>121</v>
      </c>
      <c r="Z153" s="161">
        <f>ROUND(IF(AQ153="5",BJ153,0),2)</f>
        <v>0</v>
      </c>
      <c r="AB153" s="161">
        <f>ROUND(IF(AQ153="1",BH153,0),2)</f>
        <v>0</v>
      </c>
      <c r="AC153" s="161">
        <f>ROUND(IF(AQ153="1",BI153,0),2)</f>
        <v>0</v>
      </c>
      <c r="AD153" s="161">
        <f>ROUND(IF(AQ153="7",BH153,0),2)</f>
        <v>0</v>
      </c>
      <c r="AE153" s="161">
        <f>ROUND(IF(AQ153="7",BI153,0),2)</f>
        <v>0</v>
      </c>
      <c r="AF153" s="161">
        <f>ROUND(IF(AQ153="2",BH153,0),2)</f>
        <v>0</v>
      </c>
      <c r="AG153" s="161">
        <f>ROUND(IF(AQ153="2",BI153,0),2)</f>
        <v>0</v>
      </c>
      <c r="AH153" s="161">
        <f>ROUND(IF(AQ153="0",BJ153,0),2)</f>
        <v>0</v>
      </c>
      <c r="AI153" s="163" t="s">
        <v>53</v>
      </c>
      <c r="AJ153" s="161">
        <f>IF(AN153=0,J153,0)</f>
        <v>0</v>
      </c>
      <c r="AK153" s="161">
        <f>IF(AN153=12,J153,0)</f>
        <v>0</v>
      </c>
      <c r="AL153" s="161">
        <f>IF(AN153=21,J153,0)</f>
        <v>0</v>
      </c>
      <c r="AN153" s="161">
        <v>21</v>
      </c>
      <c r="AO153" s="161">
        <f>G153*0</f>
        <v>0</v>
      </c>
      <c r="AP153" s="161">
        <f>G153*(1-0)</f>
        <v>0</v>
      </c>
      <c r="AQ153" s="162" t="s">
        <v>166</v>
      </c>
      <c r="AV153" s="161">
        <f>ROUND(AW153+AX153,2)</f>
        <v>0</v>
      </c>
      <c r="AW153" s="161">
        <f>ROUND(F153*AO153,2)</f>
        <v>0</v>
      </c>
      <c r="AX153" s="161">
        <f>ROUND(F153*AP153,2)</f>
        <v>0</v>
      </c>
      <c r="AY153" s="162" t="s">
        <v>398</v>
      </c>
      <c r="AZ153" s="162" t="s">
        <v>397</v>
      </c>
      <c r="BA153" s="163" t="s">
        <v>117</v>
      </c>
      <c r="BC153" s="161">
        <f>AW153+AX153</f>
        <v>0</v>
      </c>
      <c r="BD153" s="161">
        <f>G153/(100-BE153)*100</f>
        <v>0</v>
      </c>
      <c r="BE153" s="161">
        <v>0</v>
      </c>
      <c r="BF153" s="161">
        <f>L153</f>
        <v>0</v>
      </c>
      <c r="BH153" s="161">
        <f>F153*AO153</f>
        <v>0</v>
      </c>
      <c r="BI153" s="161">
        <f>F153*AP153</f>
        <v>0</v>
      </c>
      <c r="BJ153" s="161">
        <f>F153*G153</f>
        <v>0</v>
      </c>
      <c r="BK153" s="162" t="s">
        <v>116</v>
      </c>
      <c r="BL153" s="161">
        <v>711</v>
      </c>
      <c r="BW153" s="161">
        <v>21</v>
      </c>
      <c r="BX153" s="160" t="s">
        <v>434</v>
      </c>
    </row>
    <row r="154" spans="1:76" x14ac:dyDescent="0.25">
      <c r="A154" s="179"/>
      <c r="C154" s="178" t="s">
        <v>412</v>
      </c>
      <c r="D154" s="178" t="s">
        <v>403</v>
      </c>
      <c r="F154" s="177">
        <v>32.6</v>
      </c>
      <c r="M154" s="176"/>
    </row>
    <row r="155" spans="1:76" x14ac:dyDescent="0.25">
      <c r="A155" s="168" t="s">
        <v>433</v>
      </c>
      <c r="B155" s="167" t="s">
        <v>432</v>
      </c>
      <c r="C155" s="88" t="s">
        <v>431</v>
      </c>
      <c r="D155" s="87"/>
      <c r="E155" s="167" t="s">
        <v>167</v>
      </c>
      <c r="F155" s="161">
        <v>16.920000000000002</v>
      </c>
      <c r="G155" s="165">
        <v>0</v>
      </c>
      <c r="H155" s="161">
        <f>ROUND(F155*AO155,2)</f>
        <v>0</v>
      </c>
      <c r="I155" s="161">
        <f>ROUND(F155*AP155,2)</f>
        <v>0</v>
      </c>
      <c r="J155" s="161">
        <f>ROUND(F155*G155,2)</f>
        <v>0</v>
      </c>
      <c r="K155" s="161">
        <v>0</v>
      </c>
      <c r="L155" s="161">
        <f>F155*K155</f>
        <v>0</v>
      </c>
      <c r="M155" s="164" t="s">
        <v>121</v>
      </c>
      <c r="Z155" s="161">
        <f>ROUND(IF(AQ155="5",BJ155,0),2)</f>
        <v>0</v>
      </c>
      <c r="AB155" s="161">
        <f>ROUND(IF(AQ155="1",BH155,0),2)</f>
        <v>0</v>
      </c>
      <c r="AC155" s="161">
        <f>ROUND(IF(AQ155="1",BI155,0),2)</f>
        <v>0</v>
      </c>
      <c r="AD155" s="161">
        <f>ROUND(IF(AQ155="7",BH155,0),2)</f>
        <v>0</v>
      </c>
      <c r="AE155" s="161">
        <f>ROUND(IF(AQ155="7",BI155,0),2)</f>
        <v>0</v>
      </c>
      <c r="AF155" s="161">
        <f>ROUND(IF(AQ155="2",BH155,0),2)</f>
        <v>0</v>
      </c>
      <c r="AG155" s="161">
        <f>ROUND(IF(AQ155="2",BI155,0),2)</f>
        <v>0</v>
      </c>
      <c r="AH155" s="161">
        <f>ROUND(IF(AQ155="0",BJ155,0),2)</f>
        <v>0</v>
      </c>
      <c r="AI155" s="163" t="s">
        <v>53</v>
      </c>
      <c r="AJ155" s="161">
        <f>IF(AN155=0,J155,0)</f>
        <v>0</v>
      </c>
      <c r="AK155" s="161">
        <f>IF(AN155=12,J155,0)</f>
        <v>0</v>
      </c>
      <c r="AL155" s="161">
        <f>IF(AN155=21,J155,0)</f>
        <v>0</v>
      </c>
      <c r="AN155" s="161">
        <v>21</v>
      </c>
      <c r="AO155" s="161">
        <f>G155*0</f>
        <v>0</v>
      </c>
      <c r="AP155" s="161">
        <f>G155*(1-0)</f>
        <v>0</v>
      </c>
      <c r="AQ155" s="162" t="s">
        <v>166</v>
      </c>
      <c r="AV155" s="161">
        <f>ROUND(AW155+AX155,2)</f>
        <v>0</v>
      </c>
      <c r="AW155" s="161">
        <f>ROUND(F155*AO155,2)</f>
        <v>0</v>
      </c>
      <c r="AX155" s="161">
        <f>ROUND(F155*AP155,2)</f>
        <v>0</v>
      </c>
      <c r="AY155" s="162" t="s">
        <v>398</v>
      </c>
      <c r="AZ155" s="162" t="s">
        <v>397</v>
      </c>
      <c r="BA155" s="163" t="s">
        <v>117</v>
      </c>
      <c r="BC155" s="161">
        <f>AW155+AX155</f>
        <v>0</v>
      </c>
      <c r="BD155" s="161">
        <f>G155/(100-BE155)*100</f>
        <v>0</v>
      </c>
      <c r="BE155" s="161">
        <v>0</v>
      </c>
      <c r="BF155" s="161">
        <f>L155</f>
        <v>0</v>
      </c>
      <c r="BH155" s="161">
        <f>F155*AO155</f>
        <v>0</v>
      </c>
      <c r="BI155" s="161">
        <f>F155*AP155</f>
        <v>0</v>
      </c>
      <c r="BJ155" s="161">
        <f>F155*G155</f>
        <v>0</v>
      </c>
      <c r="BK155" s="162" t="s">
        <v>116</v>
      </c>
      <c r="BL155" s="161">
        <v>711</v>
      </c>
      <c r="BW155" s="161">
        <v>21</v>
      </c>
      <c r="BX155" s="160" t="s">
        <v>431</v>
      </c>
    </row>
    <row r="156" spans="1:76" x14ac:dyDescent="0.25">
      <c r="A156" s="179"/>
      <c r="C156" s="178" t="s">
        <v>430</v>
      </c>
      <c r="D156" s="178" t="s">
        <v>401</v>
      </c>
      <c r="F156" s="177">
        <v>16.920000000000002</v>
      </c>
      <c r="M156" s="176"/>
    </row>
    <row r="157" spans="1:76" x14ac:dyDescent="0.25">
      <c r="A157" s="168" t="s">
        <v>429</v>
      </c>
      <c r="B157" s="167" t="s">
        <v>428</v>
      </c>
      <c r="C157" s="88" t="s">
        <v>427</v>
      </c>
      <c r="D157" s="87"/>
      <c r="E157" s="167" t="s">
        <v>167</v>
      </c>
      <c r="F157" s="161">
        <v>59.423999999999999</v>
      </c>
      <c r="G157" s="165">
        <v>0</v>
      </c>
      <c r="H157" s="161">
        <f>ROUND(F157*AO157,2)</f>
        <v>0</v>
      </c>
      <c r="I157" s="161">
        <f>ROUND(F157*AP157,2)</f>
        <v>0</v>
      </c>
      <c r="J157" s="161">
        <f>ROUND(F157*G157,2)</f>
        <v>0</v>
      </c>
      <c r="K157" s="161">
        <v>1.9E-3</v>
      </c>
      <c r="L157" s="161">
        <f>F157*K157</f>
        <v>0.11290559999999999</v>
      </c>
      <c r="M157" s="164" t="s">
        <v>121</v>
      </c>
      <c r="Z157" s="161">
        <f>ROUND(IF(AQ157="5",BJ157,0),2)</f>
        <v>0</v>
      </c>
      <c r="AB157" s="161">
        <f>ROUND(IF(AQ157="1",BH157,0),2)</f>
        <v>0</v>
      </c>
      <c r="AC157" s="161">
        <f>ROUND(IF(AQ157="1",BI157,0),2)</f>
        <v>0</v>
      </c>
      <c r="AD157" s="161">
        <f>ROUND(IF(AQ157="7",BH157,0),2)</f>
        <v>0</v>
      </c>
      <c r="AE157" s="161">
        <f>ROUND(IF(AQ157="7",BI157,0),2)</f>
        <v>0</v>
      </c>
      <c r="AF157" s="161">
        <f>ROUND(IF(AQ157="2",BH157,0),2)</f>
        <v>0</v>
      </c>
      <c r="AG157" s="161">
        <f>ROUND(IF(AQ157="2",BI157,0),2)</f>
        <v>0</v>
      </c>
      <c r="AH157" s="161">
        <f>ROUND(IF(AQ157="0",BJ157,0),2)</f>
        <v>0</v>
      </c>
      <c r="AI157" s="163" t="s">
        <v>53</v>
      </c>
      <c r="AJ157" s="161">
        <f>IF(AN157=0,J157,0)</f>
        <v>0</v>
      </c>
      <c r="AK157" s="161">
        <f>IF(AN157=12,J157,0)</f>
        <v>0</v>
      </c>
      <c r="AL157" s="161">
        <f>IF(AN157=21,J157,0)</f>
        <v>0</v>
      </c>
      <c r="AN157" s="161">
        <v>21</v>
      </c>
      <c r="AO157" s="161">
        <f>G157*1</f>
        <v>0</v>
      </c>
      <c r="AP157" s="161">
        <f>G157*(1-1)</f>
        <v>0</v>
      </c>
      <c r="AQ157" s="162" t="s">
        <v>166</v>
      </c>
      <c r="AV157" s="161">
        <f>ROUND(AW157+AX157,2)</f>
        <v>0</v>
      </c>
      <c r="AW157" s="161">
        <f>ROUND(F157*AO157,2)</f>
        <v>0</v>
      </c>
      <c r="AX157" s="161">
        <f>ROUND(F157*AP157,2)</f>
        <v>0</v>
      </c>
      <c r="AY157" s="162" t="s">
        <v>398</v>
      </c>
      <c r="AZ157" s="162" t="s">
        <v>397</v>
      </c>
      <c r="BA157" s="163" t="s">
        <v>117</v>
      </c>
      <c r="BC157" s="161">
        <f>AW157+AX157</f>
        <v>0</v>
      </c>
      <c r="BD157" s="161">
        <f>G157/(100-BE157)*100</f>
        <v>0</v>
      </c>
      <c r="BE157" s="161">
        <v>0</v>
      </c>
      <c r="BF157" s="161">
        <f>L157</f>
        <v>0.11290559999999999</v>
      </c>
      <c r="BH157" s="161">
        <f>F157*AO157</f>
        <v>0</v>
      </c>
      <c r="BI157" s="161">
        <f>F157*AP157</f>
        <v>0</v>
      </c>
      <c r="BJ157" s="161">
        <f>F157*G157</f>
        <v>0</v>
      </c>
      <c r="BK157" s="162" t="s">
        <v>246</v>
      </c>
      <c r="BL157" s="161">
        <v>711</v>
      </c>
      <c r="BW157" s="161">
        <v>21</v>
      </c>
      <c r="BX157" s="160" t="s">
        <v>427</v>
      </c>
    </row>
    <row r="158" spans="1:76" x14ac:dyDescent="0.25">
      <c r="A158" s="179"/>
      <c r="C158" s="178" t="s">
        <v>426</v>
      </c>
      <c r="D158" s="178" t="s">
        <v>403</v>
      </c>
      <c r="F158" s="177">
        <v>39.119999999999997</v>
      </c>
      <c r="M158" s="176"/>
    </row>
    <row r="159" spans="1:76" x14ac:dyDescent="0.25">
      <c r="A159" s="179"/>
      <c r="C159" s="178" t="s">
        <v>425</v>
      </c>
      <c r="D159" s="178" t="s">
        <v>401</v>
      </c>
      <c r="F159" s="177">
        <v>20.303999999999998</v>
      </c>
      <c r="M159" s="176"/>
    </row>
    <row r="160" spans="1:76" x14ac:dyDescent="0.25">
      <c r="A160" s="168" t="s">
        <v>424</v>
      </c>
      <c r="B160" s="167" t="s">
        <v>423</v>
      </c>
      <c r="C160" s="88" t="s">
        <v>422</v>
      </c>
      <c r="D160" s="87"/>
      <c r="E160" s="167" t="s">
        <v>217</v>
      </c>
      <c r="F160" s="161">
        <v>56.4</v>
      </c>
      <c r="G160" s="165">
        <v>0</v>
      </c>
      <c r="H160" s="161">
        <f>ROUND(F160*AO160,2)</f>
        <v>0</v>
      </c>
      <c r="I160" s="161">
        <f>ROUND(F160*AP160,2)</f>
        <v>0</v>
      </c>
      <c r="J160" s="161">
        <f>ROUND(F160*G160,2)</f>
        <v>0</v>
      </c>
      <c r="K160" s="161">
        <v>4.2999999999999999E-4</v>
      </c>
      <c r="L160" s="161">
        <f>F160*K160</f>
        <v>2.4251999999999999E-2</v>
      </c>
      <c r="M160" s="164" t="s">
        <v>121</v>
      </c>
      <c r="Z160" s="161">
        <f>ROUND(IF(AQ160="5",BJ160,0),2)</f>
        <v>0</v>
      </c>
      <c r="AB160" s="161">
        <f>ROUND(IF(AQ160="1",BH160,0),2)</f>
        <v>0</v>
      </c>
      <c r="AC160" s="161">
        <f>ROUND(IF(AQ160="1",BI160,0),2)</f>
        <v>0</v>
      </c>
      <c r="AD160" s="161">
        <f>ROUND(IF(AQ160="7",BH160,0),2)</f>
        <v>0</v>
      </c>
      <c r="AE160" s="161">
        <f>ROUND(IF(AQ160="7",BI160,0),2)</f>
        <v>0</v>
      </c>
      <c r="AF160" s="161">
        <f>ROUND(IF(AQ160="2",BH160,0),2)</f>
        <v>0</v>
      </c>
      <c r="AG160" s="161">
        <f>ROUND(IF(AQ160="2",BI160,0),2)</f>
        <v>0</v>
      </c>
      <c r="AH160" s="161">
        <f>ROUND(IF(AQ160="0",BJ160,0),2)</f>
        <v>0</v>
      </c>
      <c r="AI160" s="163" t="s">
        <v>53</v>
      </c>
      <c r="AJ160" s="161">
        <f>IF(AN160=0,J160,0)</f>
        <v>0</v>
      </c>
      <c r="AK160" s="161">
        <f>IF(AN160=12,J160,0)</f>
        <v>0</v>
      </c>
      <c r="AL160" s="161">
        <f>IF(AN160=21,J160,0)</f>
        <v>0</v>
      </c>
      <c r="AN160" s="161">
        <v>21</v>
      </c>
      <c r="AO160" s="161">
        <f>G160*0.283603625</f>
        <v>0</v>
      </c>
      <c r="AP160" s="161">
        <f>G160*(1-0.283603625)</f>
        <v>0</v>
      </c>
      <c r="AQ160" s="162" t="s">
        <v>166</v>
      </c>
      <c r="AV160" s="161">
        <f>ROUND(AW160+AX160,2)</f>
        <v>0</v>
      </c>
      <c r="AW160" s="161">
        <f>ROUND(F160*AO160,2)</f>
        <v>0</v>
      </c>
      <c r="AX160" s="161">
        <f>ROUND(F160*AP160,2)</f>
        <v>0</v>
      </c>
      <c r="AY160" s="162" t="s">
        <v>398</v>
      </c>
      <c r="AZ160" s="162" t="s">
        <v>397</v>
      </c>
      <c r="BA160" s="163" t="s">
        <v>117</v>
      </c>
      <c r="BC160" s="161">
        <f>AW160+AX160</f>
        <v>0</v>
      </c>
      <c r="BD160" s="161">
        <f>G160/(100-BE160)*100</f>
        <v>0</v>
      </c>
      <c r="BE160" s="161">
        <v>0</v>
      </c>
      <c r="BF160" s="161">
        <f>L160</f>
        <v>2.4251999999999999E-2</v>
      </c>
      <c r="BH160" s="161">
        <f>F160*AO160</f>
        <v>0</v>
      </c>
      <c r="BI160" s="161">
        <f>F160*AP160</f>
        <v>0</v>
      </c>
      <c r="BJ160" s="161">
        <f>F160*G160</f>
        <v>0</v>
      </c>
      <c r="BK160" s="162" t="s">
        <v>116</v>
      </c>
      <c r="BL160" s="161">
        <v>711</v>
      </c>
      <c r="BW160" s="161">
        <v>21</v>
      </c>
      <c r="BX160" s="160" t="s">
        <v>422</v>
      </c>
    </row>
    <row r="161" spans="1:76" x14ac:dyDescent="0.25">
      <c r="A161" s="179"/>
      <c r="C161" s="178" t="s">
        <v>421</v>
      </c>
      <c r="D161" s="178" t="s">
        <v>401</v>
      </c>
      <c r="F161" s="177">
        <v>56.4</v>
      </c>
      <c r="M161" s="176"/>
    </row>
    <row r="162" spans="1:76" x14ac:dyDescent="0.25">
      <c r="A162" s="168" t="s">
        <v>420</v>
      </c>
      <c r="B162" s="167" t="s">
        <v>419</v>
      </c>
      <c r="C162" s="88" t="s">
        <v>418</v>
      </c>
      <c r="D162" s="87"/>
      <c r="E162" s="167" t="s">
        <v>217</v>
      </c>
      <c r="F162" s="161">
        <v>30.4</v>
      </c>
      <c r="G162" s="165">
        <v>0</v>
      </c>
      <c r="H162" s="161">
        <f>ROUND(F162*AO162,2)</f>
        <v>0</v>
      </c>
      <c r="I162" s="161">
        <f>ROUND(F162*AP162,2)</f>
        <v>0</v>
      </c>
      <c r="J162" s="161">
        <f>ROUND(F162*G162,2)</f>
        <v>0</v>
      </c>
      <c r="K162" s="161">
        <v>2.9999999999999997E-4</v>
      </c>
      <c r="L162" s="161">
        <f>F162*K162</f>
        <v>9.1199999999999996E-3</v>
      </c>
      <c r="M162" s="164" t="s">
        <v>121</v>
      </c>
      <c r="Z162" s="161">
        <f>ROUND(IF(AQ162="5",BJ162,0),2)</f>
        <v>0</v>
      </c>
      <c r="AB162" s="161">
        <f>ROUND(IF(AQ162="1",BH162,0),2)</f>
        <v>0</v>
      </c>
      <c r="AC162" s="161">
        <f>ROUND(IF(AQ162="1",BI162,0),2)</f>
        <v>0</v>
      </c>
      <c r="AD162" s="161">
        <f>ROUND(IF(AQ162="7",BH162,0),2)</f>
        <v>0</v>
      </c>
      <c r="AE162" s="161">
        <f>ROUND(IF(AQ162="7",BI162,0),2)</f>
        <v>0</v>
      </c>
      <c r="AF162" s="161">
        <f>ROUND(IF(AQ162="2",BH162,0),2)</f>
        <v>0</v>
      </c>
      <c r="AG162" s="161">
        <f>ROUND(IF(AQ162="2",BI162,0),2)</f>
        <v>0</v>
      </c>
      <c r="AH162" s="161">
        <f>ROUND(IF(AQ162="0",BJ162,0),2)</f>
        <v>0</v>
      </c>
      <c r="AI162" s="163" t="s">
        <v>53</v>
      </c>
      <c r="AJ162" s="161">
        <f>IF(AN162=0,J162,0)</f>
        <v>0</v>
      </c>
      <c r="AK162" s="161">
        <f>IF(AN162=12,J162,0)</f>
        <v>0</v>
      </c>
      <c r="AL162" s="161">
        <f>IF(AN162=21,J162,0)</f>
        <v>0</v>
      </c>
      <c r="AN162" s="161">
        <v>21</v>
      </c>
      <c r="AO162" s="161">
        <f>G162*1</f>
        <v>0</v>
      </c>
      <c r="AP162" s="161">
        <f>G162*(1-1)</f>
        <v>0</v>
      </c>
      <c r="AQ162" s="162" t="s">
        <v>166</v>
      </c>
      <c r="AV162" s="161">
        <f>ROUND(AW162+AX162,2)</f>
        <v>0</v>
      </c>
      <c r="AW162" s="161">
        <f>ROUND(F162*AO162,2)</f>
        <v>0</v>
      </c>
      <c r="AX162" s="161">
        <f>ROUND(F162*AP162,2)</f>
        <v>0</v>
      </c>
      <c r="AY162" s="162" t="s">
        <v>398</v>
      </c>
      <c r="AZ162" s="162" t="s">
        <v>397</v>
      </c>
      <c r="BA162" s="163" t="s">
        <v>117</v>
      </c>
      <c r="BC162" s="161">
        <f>AW162+AX162</f>
        <v>0</v>
      </c>
      <c r="BD162" s="161">
        <f>G162/(100-BE162)*100</f>
        <v>0</v>
      </c>
      <c r="BE162" s="161">
        <v>0</v>
      </c>
      <c r="BF162" s="161">
        <f>L162</f>
        <v>9.1199999999999996E-3</v>
      </c>
      <c r="BH162" s="161">
        <f>F162*AO162</f>
        <v>0</v>
      </c>
      <c r="BI162" s="161">
        <f>F162*AP162</f>
        <v>0</v>
      </c>
      <c r="BJ162" s="161">
        <f>F162*G162</f>
        <v>0</v>
      </c>
      <c r="BK162" s="162" t="s">
        <v>246</v>
      </c>
      <c r="BL162" s="161">
        <v>711</v>
      </c>
      <c r="BW162" s="161">
        <v>21</v>
      </c>
      <c r="BX162" s="160" t="s">
        <v>418</v>
      </c>
    </row>
    <row r="163" spans="1:76" x14ac:dyDescent="0.25">
      <c r="A163" s="179"/>
      <c r="C163" s="178" t="s">
        <v>417</v>
      </c>
      <c r="D163" s="178" t="s">
        <v>416</v>
      </c>
      <c r="F163" s="177">
        <v>30.4</v>
      </c>
      <c r="M163" s="176"/>
    </row>
    <row r="164" spans="1:76" x14ac:dyDescent="0.25">
      <c r="A164" s="168" t="s">
        <v>415</v>
      </c>
      <c r="B164" s="167" t="s">
        <v>414</v>
      </c>
      <c r="C164" s="88" t="s">
        <v>413</v>
      </c>
      <c r="D164" s="87"/>
      <c r="E164" s="167" t="s">
        <v>167</v>
      </c>
      <c r="F164" s="161">
        <v>32.6</v>
      </c>
      <c r="G164" s="165">
        <v>0</v>
      </c>
      <c r="H164" s="161">
        <f>ROUND(F164*AO164,2)</f>
        <v>0</v>
      </c>
      <c r="I164" s="161">
        <f>ROUND(F164*AP164,2)</f>
        <v>0</v>
      </c>
      <c r="J164" s="161">
        <f>ROUND(F164*G164,2)</f>
        <v>0</v>
      </c>
      <c r="K164" s="161">
        <v>0</v>
      </c>
      <c r="L164" s="161">
        <f>F164*K164</f>
        <v>0</v>
      </c>
      <c r="M164" s="164" t="s">
        <v>121</v>
      </c>
      <c r="Z164" s="161">
        <f>ROUND(IF(AQ164="5",BJ164,0),2)</f>
        <v>0</v>
      </c>
      <c r="AB164" s="161">
        <f>ROUND(IF(AQ164="1",BH164,0),2)</f>
        <v>0</v>
      </c>
      <c r="AC164" s="161">
        <f>ROUND(IF(AQ164="1",BI164,0),2)</f>
        <v>0</v>
      </c>
      <c r="AD164" s="161">
        <f>ROUND(IF(AQ164="7",BH164,0),2)</f>
        <v>0</v>
      </c>
      <c r="AE164" s="161">
        <f>ROUND(IF(AQ164="7",BI164,0),2)</f>
        <v>0</v>
      </c>
      <c r="AF164" s="161">
        <f>ROUND(IF(AQ164="2",BH164,0),2)</f>
        <v>0</v>
      </c>
      <c r="AG164" s="161">
        <f>ROUND(IF(AQ164="2",BI164,0),2)</f>
        <v>0</v>
      </c>
      <c r="AH164" s="161">
        <f>ROUND(IF(AQ164="0",BJ164,0),2)</f>
        <v>0</v>
      </c>
      <c r="AI164" s="163" t="s">
        <v>53</v>
      </c>
      <c r="AJ164" s="161">
        <f>IF(AN164=0,J164,0)</f>
        <v>0</v>
      </c>
      <c r="AK164" s="161">
        <f>IF(AN164=12,J164,0)</f>
        <v>0</v>
      </c>
      <c r="AL164" s="161">
        <f>IF(AN164=21,J164,0)</f>
        <v>0</v>
      </c>
      <c r="AN164" s="161">
        <v>21</v>
      </c>
      <c r="AO164" s="161">
        <f>G164*0</f>
        <v>0</v>
      </c>
      <c r="AP164" s="161">
        <f>G164*(1-0)</f>
        <v>0</v>
      </c>
      <c r="AQ164" s="162" t="s">
        <v>166</v>
      </c>
      <c r="AV164" s="161">
        <f>ROUND(AW164+AX164,2)</f>
        <v>0</v>
      </c>
      <c r="AW164" s="161">
        <f>ROUND(F164*AO164,2)</f>
        <v>0</v>
      </c>
      <c r="AX164" s="161">
        <f>ROUND(F164*AP164,2)</f>
        <v>0</v>
      </c>
      <c r="AY164" s="162" t="s">
        <v>398</v>
      </c>
      <c r="AZ164" s="162" t="s">
        <v>397</v>
      </c>
      <c r="BA164" s="163" t="s">
        <v>117</v>
      </c>
      <c r="BC164" s="161">
        <f>AW164+AX164</f>
        <v>0</v>
      </c>
      <c r="BD164" s="161">
        <f>G164/(100-BE164)*100</f>
        <v>0</v>
      </c>
      <c r="BE164" s="161">
        <v>0</v>
      </c>
      <c r="BF164" s="161">
        <f>L164</f>
        <v>0</v>
      </c>
      <c r="BH164" s="161">
        <f>F164*AO164</f>
        <v>0</v>
      </c>
      <c r="BI164" s="161">
        <f>F164*AP164</f>
        <v>0</v>
      </c>
      <c r="BJ164" s="161">
        <f>F164*G164</f>
        <v>0</v>
      </c>
      <c r="BK164" s="162" t="s">
        <v>116</v>
      </c>
      <c r="BL164" s="161">
        <v>711</v>
      </c>
      <c r="BW164" s="161">
        <v>21</v>
      </c>
      <c r="BX164" s="160" t="s">
        <v>413</v>
      </c>
    </row>
    <row r="165" spans="1:76" x14ac:dyDescent="0.25">
      <c r="A165" s="179"/>
      <c r="C165" s="178" t="s">
        <v>412</v>
      </c>
      <c r="D165" s="178" t="s">
        <v>403</v>
      </c>
      <c r="F165" s="177">
        <v>32.6</v>
      </c>
      <c r="M165" s="176"/>
    </row>
    <row r="166" spans="1:76" x14ac:dyDescent="0.25">
      <c r="A166" s="168" t="s">
        <v>411</v>
      </c>
      <c r="B166" s="167" t="s">
        <v>410</v>
      </c>
      <c r="C166" s="88" t="s">
        <v>409</v>
      </c>
      <c r="D166" s="87"/>
      <c r="E166" s="167" t="s">
        <v>167</v>
      </c>
      <c r="F166" s="161">
        <v>21.51</v>
      </c>
      <c r="G166" s="165">
        <v>0</v>
      </c>
      <c r="H166" s="161">
        <f>ROUND(F166*AO166,2)</f>
        <v>0</v>
      </c>
      <c r="I166" s="161">
        <f>ROUND(F166*AP166,2)</f>
        <v>0</v>
      </c>
      <c r="J166" s="161">
        <f>ROUND(F166*G166,2)</f>
        <v>0</v>
      </c>
      <c r="K166" s="161">
        <v>0</v>
      </c>
      <c r="L166" s="161">
        <f>F166*K166</f>
        <v>0</v>
      </c>
      <c r="M166" s="164" t="s">
        <v>121</v>
      </c>
      <c r="Z166" s="161">
        <f>ROUND(IF(AQ166="5",BJ166,0),2)</f>
        <v>0</v>
      </c>
      <c r="AB166" s="161">
        <f>ROUND(IF(AQ166="1",BH166,0),2)</f>
        <v>0</v>
      </c>
      <c r="AC166" s="161">
        <f>ROUND(IF(AQ166="1",BI166,0),2)</f>
        <v>0</v>
      </c>
      <c r="AD166" s="161">
        <f>ROUND(IF(AQ166="7",BH166,0),2)</f>
        <v>0</v>
      </c>
      <c r="AE166" s="161">
        <f>ROUND(IF(AQ166="7",BI166,0),2)</f>
        <v>0</v>
      </c>
      <c r="AF166" s="161">
        <f>ROUND(IF(AQ166="2",BH166,0),2)</f>
        <v>0</v>
      </c>
      <c r="AG166" s="161">
        <f>ROUND(IF(AQ166="2",BI166,0),2)</f>
        <v>0</v>
      </c>
      <c r="AH166" s="161">
        <f>ROUND(IF(AQ166="0",BJ166,0),2)</f>
        <v>0</v>
      </c>
      <c r="AI166" s="163" t="s">
        <v>53</v>
      </c>
      <c r="AJ166" s="161">
        <f>IF(AN166=0,J166,0)</f>
        <v>0</v>
      </c>
      <c r="AK166" s="161">
        <f>IF(AN166=12,J166,0)</f>
        <v>0</v>
      </c>
      <c r="AL166" s="161">
        <f>IF(AN166=21,J166,0)</f>
        <v>0</v>
      </c>
      <c r="AN166" s="161">
        <v>21</v>
      </c>
      <c r="AO166" s="161">
        <f>G166*0</f>
        <v>0</v>
      </c>
      <c r="AP166" s="161">
        <f>G166*(1-0)</f>
        <v>0</v>
      </c>
      <c r="AQ166" s="162" t="s">
        <v>166</v>
      </c>
      <c r="AV166" s="161">
        <f>ROUND(AW166+AX166,2)</f>
        <v>0</v>
      </c>
      <c r="AW166" s="161">
        <f>ROUND(F166*AO166,2)</f>
        <v>0</v>
      </c>
      <c r="AX166" s="161">
        <f>ROUND(F166*AP166,2)</f>
        <v>0</v>
      </c>
      <c r="AY166" s="162" t="s">
        <v>398</v>
      </c>
      <c r="AZ166" s="162" t="s">
        <v>397</v>
      </c>
      <c r="BA166" s="163" t="s">
        <v>117</v>
      </c>
      <c r="BC166" s="161">
        <f>AW166+AX166</f>
        <v>0</v>
      </c>
      <c r="BD166" s="161">
        <f>G166/(100-BE166)*100</f>
        <v>0</v>
      </c>
      <c r="BE166" s="161">
        <v>0</v>
      </c>
      <c r="BF166" s="161">
        <f>L166</f>
        <v>0</v>
      </c>
      <c r="BH166" s="161">
        <f>F166*AO166</f>
        <v>0</v>
      </c>
      <c r="BI166" s="161">
        <f>F166*AP166</f>
        <v>0</v>
      </c>
      <c r="BJ166" s="161">
        <f>F166*G166</f>
        <v>0</v>
      </c>
      <c r="BK166" s="162" t="s">
        <v>116</v>
      </c>
      <c r="BL166" s="161">
        <v>711</v>
      </c>
      <c r="BW166" s="161">
        <v>21</v>
      </c>
      <c r="BX166" s="160" t="s">
        <v>409</v>
      </c>
    </row>
    <row r="167" spans="1:76" x14ac:dyDescent="0.25">
      <c r="A167" s="179"/>
      <c r="C167" s="178" t="s">
        <v>408</v>
      </c>
      <c r="D167" s="178" t="s">
        <v>401</v>
      </c>
      <c r="F167" s="177">
        <v>21.51</v>
      </c>
      <c r="M167" s="176"/>
    </row>
    <row r="168" spans="1:76" x14ac:dyDescent="0.25">
      <c r="A168" s="168" t="s">
        <v>407</v>
      </c>
      <c r="B168" s="167" t="s">
        <v>406</v>
      </c>
      <c r="C168" s="88" t="s">
        <v>405</v>
      </c>
      <c r="D168" s="87"/>
      <c r="E168" s="167" t="s">
        <v>167</v>
      </c>
      <c r="F168" s="161">
        <v>67.637</v>
      </c>
      <c r="G168" s="165">
        <v>0</v>
      </c>
      <c r="H168" s="161">
        <f>ROUND(F168*AO168,2)</f>
        <v>0</v>
      </c>
      <c r="I168" s="161">
        <f>ROUND(F168*AP168,2)</f>
        <v>0</v>
      </c>
      <c r="J168" s="161">
        <f>ROUND(F168*G168,2)</f>
        <v>0</v>
      </c>
      <c r="K168" s="161">
        <v>4.0000000000000002E-4</v>
      </c>
      <c r="L168" s="161">
        <f>F168*K168</f>
        <v>2.70548E-2</v>
      </c>
      <c r="M168" s="164" t="s">
        <v>121</v>
      </c>
      <c r="Z168" s="161">
        <f>ROUND(IF(AQ168="5",BJ168,0),2)</f>
        <v>0</v>
      </c>
      <c r="AB168" s="161">
        <f>ROUND(IF(AQ168="1",BH168,0),2)</f>
        <v>0</v>
      </c>
      <c r="AC168" s="161">
        <f>ROUND(IF(AQ168="1",BI168,0),2)</f>
        <v>0</v>
      </c>
      <c r="AD168" s="161">
        <f>ROUND(IF(AQ168="7",BH168,0),2)</f>
        <v>0</v>
      </c>
      <c r="AE168" s="161">
        <f>ROUND(IF(AQ168="7",BI168,0),2)</f>
        <v>0</v>
      </c>
      <c r="AF168" s="161">
        <f>ROUND(IF(AQ168="2",BH168,0),2)</f>
        <v>0</v>
      </c>
      <c r="AG168" s="161">
        <f>ROUND(IF(AQ168="2",BI168,0),2)</f>
        <v>0</v>
      </c>
      <c r="AH168" s="161">
        <f>ROUND(IF(AQ168="0",BJ168,0),2)</f>
        <v>0</v>
      </c>
      <c r="AI168" s="163" t="s">
        <v>53</v>
      </c>
      <c r="AJ168" s="161">
        <f>IF(AN168=0,J168,0)</f>
        <v>0</v>
      </c>
      <c r="AK168" s="161">
        <f>IF(AN168=12,J168,0)</f>
        <v>0</v>
      </c>
      <c r="AL168" s="161">
        <f>IF(AN168=21,J168,0)</f>
        <v>0</v>
      </c>
      <c r="AN168" s="161">
        <v>21</v>
      </c>
      <c r="AO168" s="161">
        <f>G168*1</f>
        <v>0</v>
      </c>
      <c r="AP168" s="161">
        <f>G168*(1-1)</f>
        <v>0</v>
      </c>
      <c r="AQ168" s="162" t="s">
        <v>166</v>
      </c>
      <c r="AV168" s="161">
        <f>ROUND(AW168+AX168,2)</f>
        <v>0</v>
      </c>
      <c r="AW168" s="161">
        <f>ROUND(F168*AO168,2)</f>
        <v>0</v>
      </c>
      <c r="AX168" s="161">
        <f>ROUND(F168*AP168,2)</f>
        <v>0</v>
      </c>
      <c r="AY168" s="162" t="s">
        <v>398</v>
      </c>
      <c r="AZ168" s="162" t="s">
        <v>397</v>
      </c>
      <c r="BA168" s="163" t="s">
        <v>117</v>
      </c>
      <c r="BC168" s="161">
        <f>AW168+AX168</f>
        <v>0</v>
      </c>
      <c r="BD168" s="161">
        <f>G168/(100-BE168)*100</f>
        <v>0</v>
      </c>
      <c r="BE168" s="161">
        <v>0</v>
      </c>
      <c r="BF168" s="161">
        <f>L168</f>
        <v>2.70548E-2</v>
      </c>
      <c r="BH168" s="161">
        <f>F168*AO168</f>
        <v>0</v>
      </c>
      <c r="BI168" s="161">
        <f>F168*AP168</f>
        <v>0</v>
      </c>
      <c r="BJ168" s="161">
        <f>F168*G168</f>
        <v>0</v>
      </c>
      <c r="BK168" s="162" t="s">
        <v>246</v>
      </c>
      <c r="BL168" s="161">
        <v>711</v>
      </c>
      <c r="BW168" s="161">
        <v>21</v>
      </c>
      <c r="BX168" s="160" t="s">
        <v>405</v>
      </c>
    </row>
    <row r="169" spans="1:76" x14ac:dyDescent="0.25">
      <c r="A169" s="179"/>
      <c r="C169" s="178" t="s">
        <v>404</v>
      </c>
      <c r="D169" s="178" t="s">
        <v>403</v>
      </c>
      <c r="F169" s="177">
        <v>40.75</v>
      </c>
      <c r="M169" s="176"/>
    </row>
    <row r="170" spans="1:76" x14ac:dyDescent="0.25">
      <c r="A170" s="179"/>
      <c r="C170" s="178" t="s">
        <v>402</v>
      </c>
      <c r="D170" s="178" t="s">
        <v>401</v>
      </c>
      <c r="F170" s="177">
        <v>26.887</v>
      </c>
      <c r="M170" s="176"/>
    </row>
    <row r="171" spans="1:76" x14ac:dyDescent="0.25">
      <c r="A171" s="168" t="s">
        <v>400</v>
      </c>
      <c r="B171" s="167" t="s">
        <v>399</v>
      </c>
      <c r="C171" s="88" t="s">
        <v>396</v>
      </c>
      <c r="D171" s="87"/>
      <c r="E171" s="167" t="s">
        <v>206</v>
      </c>
      <c r="F171" s="161">
        <v>0.17299999999999999</v>
      </c>
      <c r="G171" s="165">
        <v>0</v>
      </c>
      <c r="H171" s="161">
        <f>ROUND(F171*AO171,2)</f>
        <v>0</v>
      </c>
      <c r="I171" s="161">
        <f>ROUND(F171*AP171,2)</f>
        <v>0</v>
      </c>
      <c r="J171" s="161">
        <f>ROUND(F171*G171,2)</f>
        <v>0</v>
      </c>
      <c r="K171" s="161">
        <v>0</v>
      </c>
      <c r="L171" s="161">
        <f>F171*K171</f>
        <v>0</v>
      </c>
      <c r="M171" s="164" t="s">
        <v>121</v>
      </c>
      <c r="Z171" s="161">
        <f>ROUND(IF(AQ171="5",BJ171,0),2)</f>
        <v>0</v>
      </c>
      <c r="AB171" s="161">
        <f>ROUND(IF(AQ171="1",BH171,0),2)</f>
        <v>0</v>
      </c>
      <c r="AC171" s="161">
        <f>ROUND(IF(AQ171="1",BI171,0),2)</f>
        <v>0</v>
      </c>
      <c r="AD171" s="161">
        <f>ROUND(IF(AQ171="7",BH171,0),2)</f>
        <v>0</v>
      </c>
      <c r="AE171" s="161">
        <f>ROUND(IF(AQ171="7",BI171,0),2)</f>
        <v>0</v>
      </c>
      <c r="AF171" s="161">
        <f>ROUND(IF(AQ171="2",BH171,0),2)</f>
        <v>0</v>
      </c>
      <c r="AG171" s="161">
        <f>ROUND(IF(AQ171="2",BI171,0),2)</f>
        <v>0</v>
      </c>
      <c r="AH171" s="161">
        <f>ROUND(IF(AQ171="0",BJ171,0),2)</f>
        <v>0</v>
      </c>
      <c r="AI171" s="163" t="s">
        <v>53</v>
      </c>
      <c r="AJ171" s="161">
        <f>IF(AN171=0,J171,0)</f>
        <v>0</v>
      </c>
      <c r="AK171" s="161">
        <f>IF(AN171=12,J171,0)</f>
        <v>0</v>
      </c>
      <c r="AL171" s="161">
        <f>IF(AN171=21,J171,0)</f>
        <v>0</v>
      </c>
      <c r="AN171" s="161">
        <v>21</v>
      </c>
      <c r="AO171" s="161">
        <f>G171*0</f>
        <v>0</v>
      </c>
      <c r="AP171" s="161">
        <f>G171*(1-0)</f>
        <v>0</v>
      </c>
      <c r="AQ171" s="162" t="s">
        <v>205</v>
      </c>
      <c r="AV171" s="161">
        <f>ROUND(AW171+AX171,2)</f>
        <v>0</v>
      </c>
      <c r="AW171" s="161">
        <f>ROUND(F171*AO171,2)</f>
        <v>0</v>
      </c>
      <c r="AX171" s="161">
        <f>ROUND(F171*AP171,2)</f>
        <v>0</v>
      </c>
      <c r="AY171" s="162" t="s">
        <v>398</v>
      </c>
      <c r="AZ171" s="162" t="s">
        <v>397</v>
      </c>
      <c r="BA171" s="163" t="s">
        <v>117</v>
      </c>
      <c r="BC171" s="161">
        <f>AW171+AX171</f>
        <v>0</v>
      </c>
      <c r="BD171" s="161">
        <f>G171/(100-BE171)*100</f>
        <v>0</v>
      </c>
      <c r="BE171" s="161">
        <v>0</v>
      </c>
      <c r="BF171" s="161">
        <f>L171</f>
        <v>0</v>
      </c>
      <c r="BH171" s="161">
        <f>F171*AO171</f>
        <v>0</v>
      </c>
      <c r="BI171" s="161">
        <f>F171*AP171</f>
        <v>0</v>
      </c>
      <c r="BJ171" s="161">
        <f>F171*G171</f>
        <v>0</v>
      </c>
      <c r="BK171" s="162" t="s">
        <v>116</v>
      </c>
      <c r="BL171" s="161">
        <v>711</v>
      </c>
      <c r="BW171" s="161">
        <v>21</v>
      </c>
      <c r="BX171" s="160" t="s">
        <v>396</v>
      </c>
    </row>
    <row r="172" spans="1:76" x14ac:dyDescent="0.25">
      <c r="A172" s="175" t="s">
        <v>53</v>
      </c>
      <c r="B172" s="174" t="s">
        <v>395</v>
      </c>
      <c r="C172" s="173" t="s">
        <v>394</v>
      </c>
      <c r="D172" s="172"/>
      <c r="E172" s="171" t="s">
        <v>1</v>
      </c>
      <c r="F172" s="171" t="s">
        <v>1</v>
      </c>
      <c r="G172" s="171" t="s">
        <v>1</v>
      </c>
      <c r="H172" s="169">
        <f>ROUND(SUM(H173:H197),2)</f>
        <v>0</v>
      </c>
      <c r="I172" s="169">
        <f>ROUND(SUM(I173:I197),2)</f>
        <v>0</v>
      </c>
      <c r="J172" s="169">
        <f>ROUND(SUM(J173:J197),2)</f>
        <v>0</v>
      </c>
      <c r="K172" s="163" t="s">
        <v>53</v>
      </c>
      <c r="L172" s="169">
        <f>SUM(L173:L197)</f>
        <v>3.1569999999999994E-2</v>
      </c>
      <c r="M172" s="170" t="s">
        <v>53</v>
      </c>
      <c r="AI172" s="163" t="s">
        <v>53</v>
      </c>
      <c r="AS172" s="169">
        <f>SUM(AJ173:AJ197)</f>
        <v>0</v>
      </c>
      <c r="AT172" s="169">
        <f>SUM(AK173:AK197)</f>
        <v>0</v>
      </c>
      <c r="AU172" s="169">
        <f>SUM(AL173:AL197)</f>
        <v>0</v>
      </c>
    </row>
    <row r="173" spans="1:76" x14ac:dyDescent="0.25">
      <c r="A173" s="168" t="s">
        <v>393</v>
      </c>
      <c r="B173" s="167" t="s">
        <v>392</v>
      </c>
      <c r="C173" s="88" t="s">
        <v>391</v>
      </c>
      <c r="D173" s="87"/>
      <c r="E173" s="167" t="s">
        <v>217</v>
      </c>
      <c r="F173" s="161">
        <v>49</v>
      </c>
      <c r="G173" s="165">
        <v>0</v>
      </c>
      <c r="H173" s="161">
        <f>ROUND(F173*AO173,2)</f>
        <v>0</v>
      </c>
      <c r="I173" s="161">
        <f>ROUND(F173*AP173,2)</f>
        <v>0</v>
      </c>
      <c r="J173" s="161">
        <f>ROUND(F173*G173,2)</f>
        <v>0</v>
      </c>
      <c r="K173" s="161">
        <v>0</v>
      </c>
      <c r="L173" s="161">
        <f>F173*K173</f>
        <v>0</v>
      </c>
      <c r="M173" s="164" t="s">
        <v>121</v>
      </c>
      <c r="Z173" s="161">
        <f>ROUND(IF(AQ173="5",BJ173,0),2)</f>
        <v>0</v>
      </c>
      <c r="AB173" s="161">
        <f>ROUND(IF(AQ173="1",BH173,0),2)</f>
        <v>0</v>
      </c>
      <c r="AC173" s="161">
        <f>ROUND(IF(AQ173="1",BI173,0),2)</f>
        <v>0</v>
      </c>
      <c r="AD173" s="161">
        <f>ROUND(IF(AQ173="7",BH173,0),2)</f>
        <v>0</v>
      </c>
      <c r="AE173" s="161">
        <f>ROUND(IF(AQ173="7",BI173,0),2)</f>
        <v>0</v>
      </c>
      <c r="AF173" s="161">
        <f>ROUND(IF(AQ173="2",BH173,0),2)</f>
        <v>0</v>
      </c>
      <c r="AG173" s="161">
        <f>ROUND(IF(AQ173="2",BI173,0),2)</f>
        <v>0</v>
      </c>
      <c r="AH173" s="161">
        <f>ROUND(IF(AQ173="0",BJ173,0),2)</f>
        <v>0</v>
      </c>
      <c r="AI173" s="163" t="s">
        <v>53</v>
      </c>
      <c r="AJ173" s="161">
        <f>IF(AN173=0,J173,0)</f>
        <v>0</v>
      </c>
      <c r="AK173" s="161">
        <f>IF(AN173=12,J173,0)</f>
        <v>0</v>
      </c>
      <c r="AL173" s="161">
        <f>IF(AN173=21,J173,0)</f>
        <v>0</v>
      </c>
      <c r="AN173" s="161">
        <v>21</v>
      </c>
      <c r="AO173" s="161">
        <f>G173*0</f>
        <v>0</v>
      </c>
      <c r="AP173" s="161">
        <f>G173*(1-0)</f>
        <v>0</v>
      </c>
      <c r="AQ173" s="162" t="s">
        <v>166</v>
      </c>
      <c r="AV173" s="161">
        <f>ROUND(AW173+AX173,2)</f>
        <v>0</v>
      </c>
      <c r="AW173" s="161">
        <f>ROUND(F173*AO173,2)</f>
        <v>0</v>
      </c>
      <c r="AX173" s="161">
        <f>ROUND(F173*AP173,2)</f>
        <v>0</v>
      </c>
      <c r="AY173" s="162" t="s">
        <v>349</v>
      </c>
      <c r="AZ173" s="162" t="s">
        <v>335</v>
      </c>
      <c r="BA173" s="163" t="s">
        <v>117</v>
      </c>
      <c r="BC173" s="161">
        <f>AW173+AX173</f>
        <v>0</v>
      </c>
      <c r="BD173" s="161">
        <f>G173/(100-BE173)*100</f>
        <v>0</v>
      </c>
      <c r="BE173" s="161">
        <v>0</v>
      </c>
      <c r="BF173" s="161">
        <f>L173</f>
        <v>0</v>
      </c>
      <c r="BH173" s="161">
        <f>F173*AO173</f>
        <v>0</v>
      </c>
      <c r="BI173" s="161">
        <f>F173*AP173</f>
        <v>0</v>
      </c>
      <c r="BJ173" s="161">
        <f>F173*G173</f>
        <v>0</v>
      </c>
      <c r="BK173" s="162" t="s">
        <v>116</v>
      </c>
      <c r="BL173" s="161">
        <v>722</v>
      </c>
      <c r="BW173" s="161">
        <v>21</v>
      </c>
      <c r="BX173" s="160" t="s">
        <v>391</v>
      </c>
    </row>
    <row r="174" spans="1:76" x14ac:dyDescent="0.25">
      <c r="A174" s="179"/>
      <c r="C174" s="178" t="s">
        <v>382</v>
      </c>
      <c r="D174" s="178" t="s">
        <v>390</v>
      </c>
      <c r="F174" s="177">
        <v>49</v>
      </c>
      <c r="M174" s="176"/>
    </row>
    <row r="175" spans="1:76" x14ac:dyDescent="0.25">
      <c r="A175" s="168" t="s">
        <v>389</v>
      </c>
      <c r="B175" s="167" t="s">
        <v>388</v>
      </c>
      <c r="C175" s="88" t="s">
        <v>387</v>
      </c>
      <c r="D175" s="87"/>
      <c r="E175" s="167" t="s">
        <v>217</v>
      </c>
      <c r="F175" s="161">
        <v>49</v>
      </c>
      <c r="G175" s="165">
        <v>0</v>
      </c>
      <c r="H175" s="161">
        <f>ROUND(F175*AO175,2)</f>
        <v>0</v>
      </c>
      <c r="I175" s="161">
        <f>ROUND(F175*AP175,2)</f>
        <v>0</v>
      </c>
      <c r="J175" s="161">
        <f>ROUND(F175*G175,2)</f>
        <v>0</v>
      </c>
      <c r="K175" s="161">
        <v>2.7999999999999998E-4</v>
      </c>
      <c r="L175" s="161">
        <f>F175*K175</f>
        <v>1.372E-2</v>
      </c>
      <c r="M175" s="164" t="s">
        <v>121</v>
      </c>
      <c r="Z175" s="161">
        <f>ROUND(IF(AQ175="5",BJ175,0),2)</f>
        <v>0</v>
      </c>
      <c r="AB175" s="161">
        <f>ROUND(IF(AQ175="1",BH175,0),2)</f>
        <v>0</v>
      </c>
      <c r="AC175" s="161">
        <f>ROUND(IF(AQ175="1",BI175,0),2)</f>
        <v>0</v>
      </c>
      <c r="AD175" s="161">
        <f>ROUND(IF(AQ175="7",BH175,0),2)</f>
        <v>0</v>
      </c>
      <c r="AE175" s="161">
        <f>ROUND(IF(AQ175="7",BI175,0),2)</f>
        <v>0</v>
      </c>
      <c r="AF175" s="161">
        <f>ROUND(IF(AQ175="2",BH175,0),2)</f>
        <v>0</v>
      </c>
      <c r="AG175" s="161">
        <f>ROUND(IF(AQ175="2",BI175,0),2)</f>
        <v>0</v>
      </c>
      <c r="AH175" s="161">
        <f>ROUND(IF(AQ175="0",BJ175,0),2)</f>
        <v>0</v>
      </c>
      <c r="AI175" s="163" t="s">
        <v>53</v>
      </c>
      <c r="AJ175" s="161">
        <f>IF(AN175=0,J175,0)</f>
        <v>0</v>
      </c>
      <c r="AK175" s="161">
        <f>IF(AN175=12,J175,0)</f>
        <v>0</v>
      </c>
      <c r="AL175" s="161">
        <f>IF(AN175=21,J175,0)</f>
        <v>0</v>
      </c>
      <c r="AN175" s="161">
        <v>21</v>
      </c>
      <c r="AO175" s="161">
        <f>G175*1</f>
        <v>0</v>
      </c>
      <c r="AP175" s="161">
        <f>G175*(1-1)</f>
        <v>0</v>
      </c>
      <c r="AQ175" s="162" t="s">
        <v>166</v>
      </c>
      <c r="AV175" s="161">
        <f>ROUND(AW175+AX175,2)</f>
        <v>0</v>
      </c>
      <c r="AW175" s="161">
        <f>ROUND(F175*AO175,2)</f>
        <v>0</v>
      </c>
      <c r="AX175" s="161">
        <f>ROUND(F175*AP175,2)</f>
        <v>0</v>
      </c>
      <c r="AY175" s="162" t="s">
        <v>349</v>
      </c>
      <c r="AZ175" s="162" t="s">
        <v>335</v>
      </c>
      <c r="BA175" s="163" t="s">
        <v>117</v>
      </c>
      <c r="BC175" s="161">
        <f>AW175+AX175</f>
        <v>0</v>
      </c>
      <c r="BD175" s="161">
        <f>G175/(100-BE175)*100</f>
        <v>0</v>
      </c>
      <c r="BE175" s="161">
        <v>0</v>
      </c>
      <c r="BF175" s="161">
        <f>L175</f>
        <v>1.372E-2</v>
      </c>
      <c r="BH175" s="161">
        <f>F175*AO175</f>
        <v>0</v>
      </c>
      <c r="BI175" s="161">
        <f>F175*AP175</f>
        <v>0</v>
      </c>
      <c r="BJ175" s="161">
        <f>F175*G175</f>
        <v>0</v>
      </c>
      <c r="BK175" s="162" t="s">
        <v>246</v>
      </c>
      <c r="BL175" s="161">
        <v>722</v>
      </c>
      <c r="BW175" s="161">
        <v>21</v>
      </c>
      <c r="BX175" s="160" t="s">
        <v>387</v>
      </c>
    </row>
    <row r="176" spans="1:76" x14ac:dyDescent="0.25">
      <c r="A176" s="179"/>
      <c r="C176" s="178" t="s">
        <v>382</v>
      </c>
      <c r="D176" s="178" t="s">
        <v>386</v>
      </c>
      <c r="F176" s="177">
        <v>49</v>
      </c>
      <c r="M176" s="176"/>
    </row>
    <row r="177" spans="1:76" x14ac:dyDescent="0.25">
      <c r="A177" s="168" t="s">
        <v>385</v>
      </c>
      <c r="B177" s="167" t="s">
        <v>384</v>
      </c>
      <c r="C177" s="88" t="s">
        <v>383</v>
      </c>
      <c r="D177" s="87"/>
      <c r="E177" s="167" t="s">
        <v>217</v>
      </c>
      <c r="F177" s="161">
        <v>49</v>
      </c>
      <c r="G177" s="165">
        <v>0</v>
      </c>
      <c r="H177" s="161">
        <f>ROUND(F177*AO177,2)</f>
        <v>0</v>
      </c>
      <c r="I177" s="161">
        <f>ROUND(F177*AP177,2)</f>
        <v>0</v>
      </c>
      <c r="J177" s="161">
        <f>ROUND(F177*G177,2)</f>
        <v>0</v>
      </c>
      <c r="K177" s="161">
        <v>0</v>
      </c>
      <c r="L177" s="161">
        <f>F177*K177</f>
        <v>0</v>
      </c>
      <c r="M177" s="164" t="s">
        <v>121</v>
      </c>
      <c r="Z177" s="161">
        <f>ROUND(IF(AQ177="5",BJ177,0),2)</f>
        <v>0</v>
      </c>
      <c r="AB177" s="161">
        <f>ROUND(IF(AQ177="1",BH177,0),2)</f>
        <v>0</v>
      </c>
      <c r="AC177" s="161">
        <f>ROUND(IF(AQ177="1",BI177,0),2)</f>
        <v>0</v>
      </c>
      <c r="AD177" s="161">
        <f>ROUND(IF(AQ177="7",BH177,0),2)</f>
        <v>0</v>
      </c>
      <c r="AE177" s="161">
        <f>ROUND(IF(AQ177="7",BI177,0),2)</f>
        <v>0</v>
      </c>
      <c r="AF177" s="161">
        <f>ROUND(IF(AQ177="2",BH177,0),2)</f>
        <v>0</v>
      </c>
      <c r="AG177" s="161">
        <f>ROUND(IF(AQ177="2",BI177,0),2)</f>
        <v>0</v>
      </c>
      <c r="AH177" s="161">
        <f>ROUND(IF(AQ177="0",BJ177,0),2)</f>
        <v>0</v>
      </c>
      <c r="AI177" s="163" t="s">
        <v>53</v>
      </c>
      <c r="AJ177" s="161">
        <f>IF(AN177=0,J177,0)</f>
        <v>0</v>
      </c>
      <c r="AK177" s="161">
        <f>IF(AN177=12,J177,0)</f>
        <v>0</v>
      </c>
      <c r="AL177" s="161">
        <f>IF(AN177=21,J177,0)</f>
        <v>0</v>
      </c>
      <c r="AN177" s="161">
        <v>21</v>
      </c>
      <c r="AO177" s="161">
        <f>G177*0.022600619</f>
        <v>0</v>
      </c>
      <c r="AP177" s="161">
        <f>G177*(1-0.022600619)</f>
        <v>0</v>
      </c>
      <c r="AQ177" s="162" t="s">
        <v>166</v>
      </c>
      <c r="AV177" s="161">
        <f>ROUND(AW177+AX177,2)</f>
        <v>0</v>
      </c>
      <c r="AW177" s="161">
        <f>ROUND(F177*AO177,2)</f>
        <v>0</v>
      </c>
      <c r="AX177" s="161">
        <f>ROUND(F177*AP177,2)</f>
        <v>0</v>
      </c>
      <c r="AY177" s="162" t="s">
        <v>349</v>
      </c>
      <c r="AZ177" s="162" t="s">
        <v>335</v>
      </c>
      <c r="BA177" s="163" t="s">
        <v>117</v>
      </c>
      <c r="BC177" s="161">
        <f>AW177+AX177</f>
        <v>0</v>
      </c>
      <c r="BD177" s="161">
        <f>G177/(100-BE177)*100</f>
        <v>0</v>
      </c>
      <c r="BE177" s="161">
        <v>0</v>
      </c>
      <c r="BF177" s="161">
        <f>L177</f>
        <v>0</v>
      </c>
      <c r="BH177" s="161">
        <f>F177*AO177</f>
        <v>0</v>
      </c>
      <c r="BI177" s="161">
        <f>F177*AP177</f>
        <v>0</v>
      </c>
      <c r="BJ177" s="161">
        <f>F177*G177</f>
        <v>0</v>
      </c>
      <c r="BK177" s="162" t="s">
        <v>116</v>
      </c>
      <c r="BL177" s="161">
        <v>722</v>
      </c>
      <c r="BW177" s="161">
        <v>21</v>
      </c>
      <c r="BX177" s="160" t="s">
        <v>383</v>
      </c>
    </row>
    <row r="178" spans="1:76" x14ac:dyDescent="0.25">
      <c r="A178" s="179"/>
      <c r="C178" s="178" t="s">
        <v>382</v>
      </c>
      <c r="D178" s="178" t="s">
        <v>364</v>
      </c>
      <c r="F178" s="177">
        <v>49</v>
      </c>
      <c r="M178" s="176"/>
    </row>
    <row r="179" spans="1:76" x14ac:dyDescent="0.25">
      <c r="A179" s="168" t="s">
        <v>381</v>
      </c>
      <c r="B179" s="167" t="s">
        <v>380</v>
      </c>
      <c r="C179" s="88" t="s">
        <v>379</v>
      </c>
      <c r="D179" s="87"/>
      <c r="E179" s="167" t="s">
        <v>217</v>
      </c>
      <c r="F179" s="161">
        <v>55</v>
      </c>
      <c r="G179" s="165">
        <v>0</v>
      </c>
      <c r="H179" s="161">
        <f>ROUND(F179*AO179,2)</f>
        <v>0</v>
      </c>
      <c r="I179" s="161">
        <f>ROUND(F179*AP179,2)</f>
        <v>0</v>
      </c>
      <c r="J179" s="161">
        <f>ROUND(F179*G179,2)</f>
        <v>0</v>
      </c>
      <c r="K179" s="161">
        <v>4.0000000000000003E-5</v>
      </c>
      <c r="L179" s="161">
        <f>F179*K179</f>
        <v>2.2000000000000001E-3</v>
      </c>
      <c r="M179" s="164" t="s">
        <v>121</v>
      </c>
      <c r="Z179" s="161">
        <f>ROUND(IF(AQ179="5",BJ179,0),2)</f>
        <v>0</v>
      </c>
      <c r="AB179" s="161">
        <f>ROUND(IF(AQ179="1",BH179,0),2)</f>
        <v>0</v>
      </c>
      <c r="AC179" s="161">
        <f>ROUND(IF(AQ179="1",BI179,0),2)</f>
        <v>0</v>
      </c>
      <c r="AD179" s="161">
        <f>ROUND(IF(AQ179="7",BH179,0),2)</f>
        <v>0</v>
      </c>
      <c r="AE179" s="161">
        <f>ROUND(IF(AQ179="7",BI179,0),2)</f>
        <v>0</v>
      </c>
      <c r="AF179" s="161">
        <f>ROUND(IF(AQ179="2",BH179,0),2)</f>
        <v>0</v>
      </c>
      <c r="AG179" s="161">
        <f>ROUND(IF(AQ179="2",BI179,0),2)</f>
        <v>0</v>
      </c>
      <c r="AH179" s="161">
        <f>ROUND(IF(AQ179="0",BJ179,0),2)</f>
        <v>0</v>
      </c>
      <c r="AI179" s="163" t="s">
        <v>53</v>
      </c>
      <c r="AJ179" s="161">
        <f>IF(AN179=0,J179,0)</f>
        <v>0</v>
      </c>
      <c r="AK179" s="161">
        <f>IF(AN179=12,J179,0)</f>
        <v>0</v>
      </c>
      <c r="AL179" s="161">
        <f>IF(AN179=21,J179,0)</f>
        <v>0</v>
      </c>
      <c r="AN179" s="161">
        <v>21</v>
      </c>
      <c r="AO179" s="161">
        <f>G179*0.350675676</f>
        <v>0</v>
      </c>
      <c r="AP179" s="161">
        <f>G179*(1-0.350675676)</f>
        <v>0</v>
      </c>
      <c r="AQ179" s="162" t="s">
        <v>166</v>
      </c>
      <c r="AV179" s="161">
        <f>ROUND(AW179+AX179,2)</f>
        <v>0</v>
      </c>
      <c r="AW179" s="161">
        <f>ROUND(F179*AO179,2)</f>
        <v>0</v>
      </c>
      <c r="AX179" s="161">
        <f>ROUND(F179*AP179,2)</f>
        <v>0</v>
      </c>
      <c r="AY179" s="162" t="s">
        <v>349</v>
      </c>
      <c r="AZ179" s="162" t="s">
        <v>335</v>
      </c>
      <c r="BA179" s="163" t="s">
        <v>117</v>
      </c>
      <c r="BC179" s="161">
        <f>AW179+AX179</f>
        <v>0</v>
      </c>
      <c r="BD179" s="161">
        <f>G179/(100-BE179)*100</f>
        <v>0</v>
      </c>
      <c r="BE179" s="161">
        <v>0</v>
      </c>
      <c r="BF179" s="161">
        <f>L179</f>
        <v>2.2000000000000001E-3</v>
      </c>
      <c r="BH179" s="161">
        <f>F179*AO179</f>
        <v>0</v>
      </c>
      <c r="BI179" s="161">
        <f>F179*AP179</f>
        <v>0</v>
      </c>
      <c r="BJ179" s="161">
        <f>F179*G179</f>
        <v>0</v>
      </c>
      <c r="BK179" s="162" t="s">
        <v>116</v>
      </c>
      <c r="BL179" s="161">
        <v>722</v>
      </c>
      <c r="BW179" s="161">
        <v>21</v>
      </c>
      <c r="BX179" s="160" t="s">
        <v>379</v>
      </c>
    </row>
    <row r="180" spans="1:76" x14ac:dyDescent="0.25">
      <c r="A180" s="179"/>
      <c r="C180" s="178" t="s">
        <v>375</v>
      </c>
      <c r="D180" s="178" t="s">
        <v>53</v>
      </c>
      <c r="F180" s="177">
        <v>55</v>
      </c>
      <c r="M180" s="176"/>
    </row>
    <row r="181" spans="1:76" x14ac:dyDescent="0.25">
      <c r="A181" s="168" t="s">
        <v>378</v>
      </c>
      <c r="B181" s="167" t="s">
        <v>377</v>
      </c>
      <c r="C181" s="88" t="s">
        <v>376</v>
      </c>
      <c r="D181" s="87"/>
      <c r="E181" s="167" t="s">
        <v>217</v>
      </c>
      <c r="F181" s="161">
        <v>43</v>
      </c>
      <c r="G181" s="165">
        <v>0</v>
      </c>
      <c r="H181" s="161">
        <f>ROUND(F181*AO181,2)</f>
        <v>0</v>
      </c>
      <c r="I181" s="161">
        <f>ROUND(F181*AP181,2)</f>
        <v>0</v>
      </c>
      <c r="J181" s="161">
        <f>ROUND(F181*G181,2)</f>
        <v>0</v>
      </c>
      <c r="K181" s="161">
        <v>0</v>
      </c>
      <c r="L181" s="161">
        <f>F181*K181</f>
        <v>0</v>
      </c>
      <c r="M181" s="164" t="s">
        <v>121</v>
      </c>
      <c r="Z181" s="161">
        <f>ROUND(IF(AQ181="5",BJ181,0),2)</f>
        <v>0</v>
      </c>
      <c r="AB181" s="161">
        <f>ROUND(IF(AQ181="1",BH181,0),2)</f>
        <v>0</v>
      </c>
      <c r="AC181" s="161">
        <f>ROUND(IF(AQ181="1",BI181,0),2)</f>
        <v>0</v>
      </c>
      <c r="AD181" s="161">
        <f>ROUND(IF(AQ181="7",BH181,0),2)</f>
        <v>0</v>
      </c>
      <c r="AE181" s="161">
        <f>ROUND(IF(AQ181="7",BI181,0),2)</f>
        <v>0</v>
      </c>
      <c r="AF181" s="161">
        <f>ROUND(IF(AQ181="2",BH181,0),2)</f>
        <v>0</v>
      </c>
      <c r="AG181" s="161">
        <f>ROUND(IF(AQ181="2",BI181,0),2)</f>
        <v>0</v>
      </c>
      <c r="AH181" s="161">
        <f>ROUND(IF(AQ181="0",BJ181,0),2)</f>
        <v>0</v>
      </c>
      <c r="AI181" s="163" t="s">
        <v>53</v>
      </c>
      <c r="AJ181" s="161">
        <f>IF(AN181=0,J181,0)</f>
        <v>0</v>
      </c>
      <c r="AK181" s="161">
        <f>IF(AN181=12,J181,0)</f>
        <v>0</v>
      </c>
      <c r="AL181" s="161">
        <f>IF(AN181=21,J181,0)</f>
        <v>0</v>
      </c>
      <c r="AN181" s="161">
        <v>21</v>
      </c>
      <c r="AO181" s="161">
        <f>G181*0.27804878</f>
        <v>0</v>
      </c>
      <c r="AP181" s="161">
        <f>G181*(1-0.27804878)</f>
        <v>0</v>
      </c>
      <c r="AQ181" s="162" t="s">
        <v>166</v>
      </c>
      <c r="AV181" s="161">
        <f>ROUND(AW181+AX181,2)</f>
        <v>0</v>
      </c>
      <c r="AW181" s="161">
        <f>ROUND(F181*AO181,2)</f>
        <v>0</v>
      </c>
      <c r="AX181" s="161">
        <f>ROUND(F181*AP181,2)</f>
        <v>0</v>
      </c>
      <c r="AY181" s="162" t="s">
        <v>349</v>
      </c>
      <c r="AZ181" s="162" t="s">
        <v>335</v>
      </c>
      <c r="BA181" s="163" t="s">
        <v>117</v>
      </c>
      <c r="BC181" s="161">
        <f>AW181+AX181</f>
        <v>0</v>
      </c>
      <c r="BD181" s="161">
        <f>G181/(100-BE181)*100</f>
        <v>0</v>
      </c>
      <c r="BE181" s="161">
        <v>0</v>
      </c>
      <c r="BF181" s="161">
        <f>L181</f>
        <v>0</v>
      </c>
      <c r="BH181" s="161">
        <f>F181*AO181</f>
        <v>0</v>
      </c>
      <c r="BI181" s="161">
        <f>F181*AP181</f>
        <v>0</v>
      </c>
      <c r="BJ181" s="161">
        <f>F181*G181</f>
        <v>0</v>
      </c>
      <c r="BK181" s="162" t="s">
        <v>116</v>
      </c>
      <c r="BL181" s="161">
        <v>722</v>
      </c>
      <c r="BW181" s="161">
        <v>21</v>
      </c>
      <c r="BX181" s="160" t="s">
        <v>376</v>
      </c>
    </row>
    <row r="182" spans="1:76" x14ac:dyDescent="0.25">
      <c r="A182" s="179"/>
      <c r="C182" s="178" t="s">
        <v>276</v>
      </c>
      <c r="D182" s="178" t="s">
        <v>53</v>
      </c>
      <c r="F182" s="177">
        <v>43</v>
      </c>
      <c r="M182" s="176"/>
    </row>
    <row r="183" spans="1:76" x14ac:dyDescent="0.25">
      <c r="A183" s="168" t="s">
        <v>375</v>
      </c>
      <c r="B183" s="167" t="s">
        <v>374</v>
      </c>
      <c r="C183" s="88" t="s">
        <v>373</v>
      </c>
      <c r="D183" s="87"/>
      <c r="E183" s="167" t="s">
        <v>217</v>
      </c>
      <c r="F183" s="161">
        <v>43</v>
      </c>
      <c r="G183" s="165">
        <v>0</v>
      </c>
      <c r="H183" s="161">
        <f>ROUND(F183*AO183,2)</f>
        <v>0</v>
      </c>
      <c r="I183" s="161">
        <f>ROUND(F183*AP183,2)</f>
        <v>0</v>
      </c>
      <c r="J183" s="161">
        <f>ROUND(F183*G183,2)</f>
        <v>0</v>
      </c>
      <c r="K183" s="161">
        <v>3.1E-4</v>
      </c>
      <c r="L183" s="161">
        <f>F183*K183</f>
        <v>1.333E-2</v>
      </c>
      <c r="M183" s="164" t="s">
        <v>121</v>
      </c>
      <c r="Z183" s="161">
        <f>ROUND(IF(AQ183="5",BJ183,0),2)</f>
        <v>0</v>
      </c>
      <c r="AB183" s="161">
        <f>ROUND(IF(AQ183="1",BH183,0),2)</f>
        <v>0</v>
      </c>
      <c r="AC183" s="161">
        <f>ROUND(IF(AQ183="1",BI183,0),2)</f>
        <v>0</v>
      </c>
      <c r="AD183" s="161">
        <f>ROUND(IF(AQ183="7",BH183,0),2)</f>
        <v>0</v>
      </c>
      <c r="AE183" s="161">
        <f>ROUND(IF(AQ183="7",BI183,0),2)</f>
        <v>0</v>
      </c>
      <c r="AF183" s="161">
        <f>ROUND(IF(AQ183="2",BH183,0),2)</f>
        <v>0</v>
      </c>
      <c r="AG183" s="161">
        <f>ROUND(IF(AQ183="2",BI183,0),2)</f>
        <v>0</v>
      </c>
      <c r="AH183" s="161">
        <f>ROUND(IF(AQ183="0",BJ183,0),2)</f>
        <v>0</v>
      </c>
      <c r="AI183" s="163" t="s">
        <v>53</v>
      </c>
      <c r="AJ183" s="161">
        <f>IF(AN183=0,J183,0)</f>
        <v>0</v>
      </c>
      <c r="AK183" s="161">
        <f>IF(AN183=12,J183,0)</f>
        <v>0</v>
      </c>
      <c r="AL183" s="161">
        <f>IF(AN183=21,J183,0)</f>
        <v>0</v>
      </c>
      <c r="AN183" s="161">
        <v>21</v>
      </c>
      <c r="AO183" s="161">
        <f>G183*1</f>
        <v>0</v>
      </c>
      <c r="AP183" s="161">
        <f>G183*(1-1)</f>
        <v>0</v>
      </c>
      <c r="AQ183" s="162" t="s">
        <v>166</v>
      </c>
      <c r="AV183" s="161">
        <f>ROUND(AW183+AX183,2)</f>
        <v>0</v>
      </c>
      <c r="AW183" s="161">
        <f>ROUND(F183*AO183,2)</f>
        <v>0</v>
      </c>
      <c r="AX183" s="161">
        <f>ROUND(F183*AP183,2)</f>
        <v>0</v>
      </c>
      <c r="AY183" s="162" t="s">
        <v>349</v>
      </c>
      <c r="AZ183" s="162" t="s">
        <v>335</v>
      </c>
      <c r="BA183" s="163" t="s">
        <v>117</v>
      </c>
      <c r="BC183" s="161">
        <f>AW183+AX183</f>
        <v>0</v>
      </c>
      <c r="BD183" s="161">
        <f>G183/(100-BE183)*100</f>
        <v>0</v>
      </c>
      <c r="BE183" s="161">
        <v>0</v>
      </c>
      <c r="BF183" s="161">
        <f>L183</f>
        <v>1.333E-2</v>
      </c>
      <c r="BH183" s="161">
        <f>F183*AO183</f>
        <v>0</v>
      </c>
      <c r="BI183" s="161">
        <f>F183*AP183</f>
        <v>0</v>
      </c>
      <c r="BJ183" s="161">
        <f>F183*G183</f>
        <v>0</v>
      </c>
      <c r="BK183" s="162" t="s">
        <v>246</v>
      </c>
      <c r="BL183" s="161">
        <v>722</v>
      </c>
      <c r="BW183" s="161">
        <v>21</v>
      </c>
      <c r="BX183" s="160" t="s">
        <v>373</v>
      </c>
    </row>
    <row r="184" spans="1:76" x14ac:dyDescent="0.25">
      <c r="A184" s="179"/>
      <c r="C184" s="178" t="s">
        <v>276</v>
      </c>
      <c r="D184" s="178" t="s">
        <v>372</v>
      </c>
      <c r="F184" s="177">
        <v>43</v>
      </c>
      <c r="M184" s="176"/>
    </row>
    <row r="185" spans="1:76" x14ac:dyDescent="0.25">
      <c r="A185" s="168" t="s">
        <v>371</v>
      </c>
      <c r="B185" s="167" t="s">
        <v>370</v>
      </c>
      <c r="C185" s="88" t="s">
        <v>369</v>
      </c>
      <c r="D185" s="87"/>
      <c r="E185" s="167" t="s">
        <v>217</v>
      </c>
      <c r="F185" s="161">
        <v>43</v>
      </c>
      <c r="G185" s="165">
        <v>0</v>
      </c>
      <c r="H185" s="161">
        <f>ROUND(F185*AO185,2)</f>
        <v>0</v>
      </c>
      <c r="I185" s="161">
        <f>ROUND(F185*AP185,2)</f>
        <v>0</v>
      </c>
      <c r="J185" s="161">
        <f>ROUND(F185*G185,2)</f>
        <v>0</v>
      </c>
      <c r="K185" s="161">
        <v>0</v>
      </c>
      <c r="L185" s="161">
        <f>F185*K185</f>
        <v>0</v>
      </c>
      <c r="M185" s="164" t="s">
        <v>121</v>
      </c>
      <c r="Z185" s="161">
        <f>ROUND(IF(AQ185="5",BJ185,0),2)</f>
        <v>0</v>
      </c>
      <c r="AB185" s="161">
        <f>ROUND(IF(AQ185="1",BH185,0),2)</f>
        <v>0</v>
      </c>
      <c r="AC185" s="161">
        <f>ROUND(IF(AQ185="1",BI185,0),2)</f>
        <v>0</v>
      </c>
      <c r="AD185" s="161">
        <f>ROUND(IF(AQ185="7",BH185,0),2)</f>
        <v>0</v>
      </c>
      <c r="AE185" s="161">
        <f>ROUND(IF(AQ185="7",BI185,0),2)</f>
        <v>0</v>
      </c>
      <c r="AF185" s="161">
        <f>ROUND(IF(AQ185="2",BH185,0),2)</f>
        <v>0</v>
      </c>
      <c r="AG185" s="161">
        <f>ROUND(IF(AQ185="2",BI185,0),2)</f>
        <v>0</v>
      </c>
      <c r="AH185" s="161">
        <f>ROUND(IF(AQ185="0",BJ185,0),2)</f>
        <v>0</v>
      </c>
      <c r="AI185" s="163" t="s">
        <v>53</v>
      </c>
      <c r="AJ185" s="161">
        <f>IF(AN185=0,J185,0)</f>
        <v>0</v>
      </c>
      <c r="AK185" s="161">
        <f>IF(AN185=12,J185,0)</f>
        <v>0</v>
      </c>
      <c r="AL185" s="161">
        <f>IF(AN185=21,J185,0)</f>
        <v>0</v>
      </c>
      <c r="AN185" s="161">
        <v>21</v>
      </c>
      <c r="AO185" s="161">
        <f>G185*0</f>
        <v>0</v>
      </c>
      <c r="AP185" s="161">
        <f>G185*(1-0)</f>
        <v>0</v>
      </c>
      <c r="AQ185" s="162" t="s">
        <v>178</v>
      </c>
      <c r="AV185" s="161">
        <f>ROUND(AW185+AX185,2)</f>
        <v>0</v>
      </c>
      <c r="AW185" s="161">
        <f>ROUND(F185*AO185,2)</f>
        <v>0</v>
      </c>
      <c r="AX185" s="161">
        <f>ROUND(F185*AP185,2)</f>
        <v>0</v>
      </c>
      <c r="AY185" s="162" t="s">
        <v>349</v>
      </c>
      <c r="AZ185" s="162" t="s">
        <v>335</v>
      </c>
      <c r="BA185" s="163" t="s">
        <v>117</v>
      </c>
      <c r="BC185" s="161">
        <f>AW185+AX185</f>
        <v>0</v>
      </c>
      <c r="BD185" s="161">
        <f>G185/(100-BE185)*100</f>
        <v>0</v>
      </c>
      <c r="BE185" s="161">
        <v>0</v>
      </c>
      <c r="BF185" s="161">
        <f>L185</f>
        <v>0</v>
      </c>
      <c r="BH185" s="161">
        <f>F185*AO185</f>
        <v>0</v>
      </c>
      <c r="BI185" s="161">
        <f>F185*AP185</f>
        <v>0</v>
      </c>
      <c r="BJ185" s="161">
        <f>F185*G185</f>
        <v>0</v>
      </c>
      <c r="BK185" s="162" t="s">
        <v>116</v>
      </c>
      <c r="BL185" s="161">
        <v>722</v>
      </c>
      <c r="BW185" s="161">
        <v>21</v>
      </c>
      <c r="BX185" s="160" t="s">
        <v>369</v>
      </c>
    </row>
    <row r="186" spans="1:76" x14ac:dyDescent="0.25">
      <c r="A186" s="179"/>
      <c r="C186" s="178" t="s">
        <v>276</v>
      </c>
      <c r="D186" s="178" t="s">
        <v>368</v>
      </c>
      <c r="F186" s="177">
        <v>43</v>
      </c>
      <c r="M186" s="176"/>
    </row>
    <row r="187" spans="1:76" x14ac:dyDescent="0.25">
      <c r="A187" s="168" t="s">
        <v>367</v>
      </c>
      <c r="B187" s="167" t="s">
        <v>366</v>
      </c>
      <c r="C187" s="88" t="s">
        <v>365</v>
      </c>
      <c r="D187" s="87"/>
      <c r="E187" s="167" t="s">
        <v>211</v>
      </c>
      <c r="F187" s="161">
        <v>2</v>
      </c>
      <c r="G187" s="165">
        <v>0</v>
      </c>
      <c r="H187" s="161">
        <f>ROUND(F187*AO187,2)</f>
        <v>0</v>
      </c>
      <c r="I187" s="161">
        <f>ROUND(F187*AP187,2)</f>
        <v>0</v>
      </c>
      <c r="J187" s="161">
        <f>ROUND(F187*G187,2)</f>
        <v>0</v>
      </c>
      <c r="K187" s="161">
        <v>0</v>
      </c>
      <c r="L187" s="161">
        <f>F187*K187</f>
        <v>0</v>
      </c>
      <c r="M187" s="164" t="s">
        <v>121</v>
      </c>
      <c r="Z187" s="161">
        <f>ROUND(IF(AQ187="5",BJ187,0),2)</f>
        <v>0</v>
      </c>
      <c r="AB187" s="161">
        <f>ROUND(IF(AQ187="1",BH187,0),2)</f>
        <v>0</v>
      </c>
      <c r="AC187" s="161">
        <f>ROUND(IF(AQ187="1",BI187,0),2)</f>
        <v>0</v>
      </c>
      <c r="AD187" s="161">
        <f>ROUND(IF(AQ187="7",BH187,0),2)</f>
        <v>0</v>
      </c>
      <c r="AE187" s="161">
        <f>ROUND(IF(AQ187="7",BI187,0),2)</f>
        <v>0</v>
      </c>
      <c r="AF187" s="161">
        <f>ROUND(IF(AQ187="2",BH187,0),2)</f>
        <v>0</v>
      </c>
      <c r="AG187" s="161">
        <f>ROUND(IF(AQ187="2",BI187,0),2)</f>
        <v>0</v>
      </c>
      <c r="AH187" s="161">
        <f>ROUND(IF(AQ187="0",BJ187,0),2)</f>
        <v>0</v>
      </c>
      <c r="AI187" s="163" t="s">
        <v>53</v>
      </c>
      <c r="AJ187" s="161">
        <f>IF(AN187=0,J187,0)</f>
        <v>0</v>
      </c>
      <c r="AK187" s="161">
        <f>IF(AN187=12,J187,0)</f>
        <v>0</v>
      </c>
      <c r="AL187" s="161">
        <f>IF(AN187=21,J187,0)</f>
        <v>0</v>
      </c>
      <c r="AN187" s="161">
        <v>21</v>
      </c>
      <c r="AO187" s="161">
        <f>G187*0</f>
        <v>0</v>
      </c>
      <c r="AP187" s="161">
        <f>G187*(1-0)</f>
        <v>0</v>
      </c>
      <c r="AQ187" s="162" t="s">
        <v>178</v>
      </c>
      <c r="AV187" s="161">
        <f>ROUND(AW187+AX187,2)</f>
        <v>0</v>
      </c>
      <c r="AW187" s="161">
        <f>ROUND(F187*AO187,2)</f>
        <v>0</v>
      </c>
      <c r="AX187" s="161">
        <f>ROUND(F187*AP187,2)</f>
        <v>0</v>
      </c>
      <c r="AY187" s="162" t="s">
        <v>349</v>
      </c>
      <c r="AZ187" s="162" t="s">
        <v>335</v>
      </c>
      <c r="BA187" s="163" t="s">
        <v>117</v>
      </c>
      <c r="BC187" s="161">
        <f>AW187+AX187</f>
        <v>0</v>
      </c>
      <c r="BD187" s="161">
        <f>G187/(100-BE187)*100</f>
        <v>0</v>
      </c>
      <c r="BE187" s="161">
        <v>0</v>
      </c>
      <c r="BF187" s="161">
        <f>L187</f>
        <v>0</v>
      </c>
      <c r="BH187" s="161">
        <f>F187*AO187</f>
        <v>0</v>
      </c>
      <c r="BI187" s="161">
        <f>F187*AP187</f>
        <v>0</v>
      </c>
      <c r="BJ187" s="161">
        <f>F187*G187</f>
        <v>0</v>
      </c>
      <c r="BK187" s="162" t="s">
        <v>116</v>
      </c>
      <c r="BL187" s="161">
        <v>722</v>
      </c>
      <c r="BW187" s="161">
        <v>21</v>
      </c>
      <c r="BX187" s="160" t="s">
        <v>365</v>
      </c>
    </row>
    <row r="188" spans="1:76" x14ac:dyDescent="0.25">
      <c r="A188" s="179"/>
      <c r="C188" s="178" t="s">
        <v>178</v>
      </c>
      <c r="D188" s="178" t="s">
        <v>364</v>
      </c>
      <c r="F188" s="177">
        <v>2</v>
      </c>
      <c r="M188" s="176"/>
    </row>
    <row r="189" spans="1:76" x14ac:dyDescent="0.25">
      <c r="A189" s="168" t="s">
        <v>363</v>
      </c>
      <c r="B189" s="167" t="s">
        <v>362</v>
      </c>
      <c r="C189" s="88" t="s">
        <v>361</v>
      </c>
      <c r="D189" s="87"/>
      <c r="E189" s="167" t="s">
        <v>211</v>
      </c>
      <c r="F189" s="161">
        <v>2</v>
      </c>
      <c r="G189" s="165">
        <v>0</v>
      </c>
      <c r="H189" s="161">
        <f>ROUND(F189*AO189,2)</f>
        <v>0</v>
      </c>
      <c r="I189" s="161">
        <f>ROUND(F189*AP189,2)</f>
        <v>0</v>
      </c>
      <c r="J189" s="161">
        <f>ROUND(F189*G189,2)</f>
        <v>0</v>
      </c>
      <c r="K189" s="161">
        <v>1.9000000000000001E-4</v>
      </c>
      <c r="L189" s="161">
        <f>F189*K189</f>
        <v>3.8000000000000002E-4</v>
      </c>
      <c r="M189" s="164" t="s">
        <v>121</v>
      </c>
      <c r="Z189" s="161">
        <f>ROUND(IF(AQ189="5",BJ189,0),2)</f>
        <v>0</v>
      </c>
      <c r="AB189" s="161">
        <f>ROUND(IF(AQ189="1",BH189,0),2)</f>
        <v>0</v>
      </c>
      <c r="AC189" s="161">
        <f>ROUND(IF(AQ189="1",BI189,0),2)</f>
        <v>0</v>
      </c>
      <c r="AD189" s="161">
        <f>ROUND(IF(AQ189="7",BH189,0),2)</f>
        <v>0</v>
      </c>
      <c r="AE189" s="161">
        <f>ROUND(IF(AQ189="7",BI189,0),2)</f>
        <v>0</v>
      </c>
      <c r="AF189" s="161">
        <f>ROUND(IF(AQ189="2",BH189,0),2)</f>
        <v>0</v>
      </c>
      <c r="AG189" s="161">
        <f>ROUND(IF(AQ189="2",BI189,0),2)</f>
        <v>0</v>
      </c>
      <c r="AH189" s="161">
        <f>ROUND(IF(AQ189="0",BJ189,0),2)</f>
        <v>0</v>
      </c>
      <c r="AI189" s="163" t="s">
        <v>53</v>
      </c>
      <c r="AJ189" s="161">
        <f>IF(AN189=0,J189,0)</f>
        <v>0</v>
      </c>
      <c r="AK189" s="161">
        <f>IF(AN189=12,J189,0)</f>
        <v>0</v>
      </c>
      <c r="AL189" s="161">
        <f>IF(AN189=21,J189,0)</f>
        <v>0</v>
      </c>
      <c r="AN189" s="161">
        <v>21</v>
      </c>
      <c r="AO189" s="161">
        <f>G189*1</f>
        <v>0</v>
      </c>
      <c r="AP189" s="161">
        <f>G189*(1-1)</f>
        <v>0</v>
      </c>
      <c r="AQ189" s="162" t="s">
        <v>166</v>
      </c>
      <c r="AV189" s="161">
        <f>ROUND(AW189+AX189,2)</f>
        <v>0</v>
      </c>
      <c r="AW189" s="161">
        <f>ROUND(F189*AO189,2)</f>
        <v>0</v>
      </c>
      <c r="AX189" s="161">
        <f>ROUND(F189*AP189,2)</f>
        <v>0</v>
      </c>
      <c r="AY189" s="162" t="s">
        <v>349</v>
      </c>
      <c r="AZ189" s="162" t="s">
        <v>335</v>
      </c>
      <c r="BA189" s="163" t="s">
        <v>117</v>
      </c>
      <c r="BC189" s="161">
        <f>AW189+AX189</f>
        <v>0</v>
      </c>
      <c r="BD189" s="161">
        <f>G189/(100-BE189)*100</f>
        <v>0</v>
      </c>
      <c r="BE189" s="161">
        <v>0</v>
      </c>
      <c r="BF189" s="161">
        <f>L189</f>
        <v>3.8000000000000002E-4</v>
      </c>
      <c r="BH189" s="161">
        <f>F189*AO189</f>
        <v>0</v>
      </c>
      <c r="BI189" s="161">
        <f>F189*AP189</f>
        <v>0</v>
      </c>
      <c r="BJ189" s="161">
        <f>F189*G189</f>
        <v>0</v>
      </c>
      <c r="BK189" s="162" t="s">
        <v>246</v>
      </c>
      <c r="BL189" s="161">
        <v>722</v>
      </c>
      <c r="BW189" s="161">
        <v>21</v>
      </c>
      <c r="BX189" s="160" t="s">
        <v>361</v>
      </c>
    </row>
    <row r="190" spans="1:76" x14ac:dyDescent="0.25">
      <c r="A190" s="179"/>
      <c r="C190" s="178" t="s">
        <v>178</v>
      </c>
      <c r="D190" s="178" t="s">
        <v>53</v>
      </c>
      <c r="F190" s="177">
        <v>2</v>
      </c>
      <c r="M190" s="176"/>
    </row>
    <row r="191" spans="1:76" x14ac:dyDescent="0.25">
      <c r="A191" s="168" t="s">
        <v>360</v>
      </c>
      <c r="B191" s="167" t="s">
        <v>359</v>
      </c>
      <c r="C191" s="88" t="s">
        <v>358</v>
      </c>
      <c r="D191" s="87"/>
      <c r="E191" s="167" t="s">
        <v>211</v>
      </c>
      <c r="F191" s="161">
        <v>1</v>
      </c>
      <c r="G191" s="165">
        <v>0</v>
      </c>
      <c r="H191" s="161">
        <f>ROUND(F191*AO191,2)</f>
        <v>0</v>
      </c>
      <c r="I191" s="161">
        <f>ROUND(F191*AP191,2)</f>
        <v>0</v>
      </c>
      <c r="J191" s="161">
        <f>ROUND(F191*G191,2)</f>
        <v>0</v>
      </c>
      <c r="K191" s="161">
        <v>3.4000000000000002E-4</v>
      </c>
      <c r="L191" s="161">
        <f>F191*K191</f>
        <v>3.4000000000000002E-4</v>
      </c>
      <c r="M191" s="164" t="s">
        <v>121</v>
      </c>
      <c r="Z191" s="161">
        <f>ROUND(IF(AQ191="5",BJ191,0),2)</f>
        <v>0</v>
      </c>
      <c r="AB191" s="161">
        <f>ROUND(IF(AQ191="1",BH191,0),2)</f>
        <v>0</v>
      </c>
      <c r="AC191" s="161">
        <f>ROUND(IF(AQ191="1",BI191,0),2)</f>
        <v>0</v>
      </c>
      <c r="AD191" s="161">
        <f>ROUND(IF(AQ191="7",BH191,0),2)</f>
        <v>0</v>
      </c>
      <c r="AE191" s="161">
        <f>ROUND(IF(AQ191="7",BI191,0),2)</f>
        <v>0</v>
      </c>
      <c r="AF191" s="161">
        <f>ROUND(IF(AQ191="2",BH191,0),2)</f>
        <v>0</v>
      </c>
      <c r="AG191" s="161">
        <f>ROUND(IF(AQ191="2",BI191,0),2)</f>
        <v>0</v>
      </c>
      <c r="AH191" s="161">
        <f>ROUND(IF(AQ191="0",BJ191,0),2)</f>
        <v>0</v>
      </c>
      <c r="AI191" s="163" t="s">
        <v>53</v>
      </c>
      <c r="AJ191" s="161">
        <f>IF(AN191=0,J191,0)</f>
        <v>0</v>
      </c>
      <c r="AK191" s="161">
        <f>IF(AN191=12,J191,0)</f>
        <v>0</v>
      </c>
      <c r="AL191" s="161">
        <f>IF(AN191=21,J191,0)</f>
        <v>0</v>
      </c>
      <c r="AN191" s="161">
        <v>21</v>
      </c>
      <c r="AO191" s="161">
        <f>G191*1</f>
        <v>0</v>
      </c>
      <c r="AP191" s="161">
        <f>G191*(1-1)</f>
        <v>0</v>
      </c>
      <c r="AQ191" s="162" t="s">
        <v>166</v>
      </c>
      <c r="AV191" s="161">
        <f>ROUND(AW191+AX191,2)</f>
        <v>0</v>
      </c>
      <c r="AW191" s="161">
        <f>ROUND(F191*AO191,2)</f>
        <v>0</v>
      </c>
      <c r="AX191" s="161">
        <f>ROUND(F191*AP191,2)</f>
        <v>0</v>
      </c>
      <c r="AY191" s="162" t="s">
        <v>349</v>
      </c>
      <c r="AZ191" s="162" t="s">
        <v>335</v>
      </c>
      <c r="BA191" s="163" t="s">
        <v>117</v>
      </c>
      <c r="BC191" s="161">
        <f>AW191+AX191</f>
        <v>0</v>
      </c>
      <c r="BD191" s="161">
        <f>G191/(100-BE191)*100</f>
        <v>0</v>
      </c>
      <c r="BE191" s="161">
        <v>0</v>
      </c>
      <c r="BF191" s="161">
        <f>L191</f>
        <v>3.4000000000000002E-4</v>
      </c>
      <c r="BH191" s="161">
        <f>F191*AO191</f>
        <v>0</v>
      </c>
      <c r="BI191" s="161">
        <f>F191*AP191</f>
        <v>0</v>
      </c>
      <c r="BJ191" s="161">
        <f>F191*G191</f>
        <v>0</v>
      </c>
      <c r="BK191" s="162" t="s">
        <v>246</v>
      </c>
      <c r="BL191" s="161">
        <v>722</v>
      </c>
      <c r="BW191" s="161">
        <v>21</v>
      </c>
      <c r="BX191" s="160" t="s">
        <v>358</v>
      </c>
    </row>
    <row r="192" spans="1:76" x14ac:dyDescent="0.25">
      <c r="A192" s="179"/>
      <c r="C192" s="178" t="s">
        <v>114</v>
      </c>
      <c r="D192" s="178" t="s">
        <v>53</v>
      </c>
      <c r="F192" s="177">
        <v>1</v>
      </c>
      <c r="M192" s="176"/>
    </row>
    <row r="193" spans="1:76" x14ac:dyDescent="0.25">
      <c r="A193" s="168" t="s">
        <v>357</v>
      </c>
      <c r="B193" s="167" t="s">
        <v>356</v>
      </c>
      <c r="C193" s="88" t="s">
        <v>355</v>
      </c>
      <c r="D193" s="87"/>
      <c r="E193" s="167" t="s">
        <v>211</v>
      </c>
      <c r="F193" s="161">
        <v>1</v>
      </c>
      <c r="G193" s="165">
        <v>0</v>
      </c>
      <c r="H193" s="161">
        <f>ROUND(F193*AO193,2)</f>
        <v>0</v>
      </c>
      <c r="I193" s="161">
        <f>ROUND(F193*AP193,2)</f>
        <v>0</v>
      </c>
      <c r="J193" s="161">
        <f>ROUND(F193*G193,2)</f>
        <v>0</v>
      </c>
      <c r="K193" s="161">
        <v>1.6000000000000001E-3</v>
      </c>
      <c r="L193" s="161">
        <f>F193*K193</f>
        <v>1.6000000000000001E-3</v>
      </c>
      <c r="M193" s="164" t="s">
        <v>121</v>
      </c>
      <c r="Z193" s="161">
        <f>ROUND(IF(AQ193="5",BJ193,0),2)</f>
        <v>0</v>
      </c>
      <c r="AB193" s="161">
        <f>ROUND(IF(AQ193="1",BH193,0),2)</f>
        <v>0</v>
      </c>
      <c r="AC193" s="161">
        <f>ROUND(IF(AQ193="1",BI193,0),2)</f>
        <v>0</v>
      </c>
      <c r="AD193" s="161">
        <f>ROUND(IF(AQ193="7",BH193,0),2)</f>
        <v>0</v>
      </c>
      <c r="AE193" s="161">
        <f>ROUND(IF(AQ193="7",BI193,0),2)</f>
        <v>0</v>
      </c>
      <c r="AF193" s="161">
        <f>ROUND(IF(AQ193="2",BH193,0),2)</f>
        <v>0</v>
      </c>
      <c r="AG193" s="161">
        <f>ROUND(IF(AQ193="2",BI193,0),2)</f>
        <v>0</v>
      </c>
      <c r="AH193" s="161">
        <f>ROUND(IF(AQ193="0",BJ193,0),2)</f>
        <v>0</v>
      </c>
      <c r="AI193" s="163" t="s">
        <v>53</v>
      </c>
      <c r="AJ193" s="161">
        <f>IF(AN193=0,J193,0)</f>
        <v>0</v>
      </c>
      <c r="AK193" s="161">
        <f>IF(AN193=12,J193,0)</f>
        <v>0</v>
      </c>
      <c r="AL193" s="161">
        <f>IF(AN193=21,J193,0)</f>
        <v>0</v>
      </c>
      <c r="AN193" s="161">
        <v>21</v>
      </c>
      <c r="AO193" s="161">
        <f>G193*0.882124043</f>
        <v>0</v>
      </c>
      <c r="AP193" s="161">
        <f>G193*(1-0.882124043)</f>
        <v>0</v>
      </c>
      <c r="AQ193" s="162" t="s">
        <v>166</v>
      </c>
      <c r="AV193" s="161">
        <f>ROUND(AW193+AX193,2)</f>
        <v>0</v>
      </c>
      <c r="AW193" s="161">
        <f>ROUND(F193*AO193,2)</f>
        <v>0</v>
      </c>
      <c r="AX193" s="161">
        <f>ROUND(F193*AP193,2)</f>
        <v>0</v>
      </c>
      <c r="AY193" s="162" t="s">
        <v>349</v>
      </c>
      <c r="AZ193" s="162" t="s">
        <v>335</v>
      </c>
      <c r="BA193" s="163" t="s">
        <v>117</v>
      </c>
      <c r="BC193" s="161">
        <f>AW193+AX193</f>
        <v>0</v>
      </c>
      <c r="BD193" s="161">
        <f>G193/(100-BE193)*100</f>
        <v>0</v>
      </c>
      <c r="BE193" s="161">
        <v>0</v>
      </c>
      <c r="BF193" s="161">
        <f>L193</f>
        <v>1.6000000000000001E-3</v>
      </c>
      <c r="BH193" s="161">
        <f>F193*AO193</f>
        <v>0</v>
      </c>
      <c r="BI193" s="161">
        <f>F193*AP193</f>
        <v>0</v>
      </c>
      <c r="BJ193" s="161">
        <f>F193*G193</f>
        <v>0</v>
      </c>
      <c r="BK193" s="162" t="s">
        <v>116</v>
      </c>
      <c r="BL193" s="161">
        <v>722</v>
      </c>
      <c r="BW193" s="161">
        <v>21</v>
      </c>
      <c r="BX193" s="160" t="s">
        <v>355</v>
      </c>
    </row>
    <row r="194" spans="1:76" x14ac:dyDescent="0.25">
      <c r="A194" s="179"/>
      <c r="C194" s="178" t="s">
        <v>114</v>
      </c>
      <c r="D194" s="178" t="s">
        <v>53</v>
      </c>
      <c r="F194" s="177">
        <v>1</v>
      </c>
      <c r="M194" s="176"/>
    </row>
    <row r="195" spans="1:76" x14ac:dyDescent="0.25">
      <c r="A195" s="168" t="s">
        <v>354</v>
      </c>
      <c r="B195" s="167" t="s">
        <v>353</v>
      </c>
      <c r="C195" s="88" t="s">
        <v>352</v>
      </c>
      <c r="D195" s="87"/>
      <c r="E195" s="167" t="s">
        <v>211</v>
      </c>
      <c r="F195" s="161">
        <v>2</v>
      </c>
      <c r="G195" s="165">
        <v>0</v>
      </c>
      <c r="H195" s="161">
        <f>ROUND(F195*AO195,2)</f>
        <v>0</v>
      </c>
      <c r="I195" s="161">
        <f>ROUND(F195*AP195,2)</f>
        <v>0</v>
      </c>
      <c r="J195" s="161">
        <f>ROUND(F195*G195,2)</f>
        <v>0</v>
      </c>
      <c r="K195" s="161">
        <v>0</v>
      </c>
      <c r="L195" s="161">
        <f>F195*K195</f>
        <v>0</v>
      </c>
      <c r="M195" s="164" t="s">
        <v>121</v>
      </c>
      <c r="Z195" s="161">
        <f>ROUND(IF(AQ195="5",BJ195,0),2)</f>
        <v>0</v>
      </c>
      <c r="AB195" s="161">
        <f>ROUND(IF(AQ195="1",BH195,0),2)</f>
        <v>0</v>
      </c>
      <c r="AC195" s="161">
        <f>ROUND(IF(AQ195="1",BI195,0),2)</f>
        <v>0</v>
      </c>
      <c r="AD195" s="161">
        <f>ROUND(IF(AQ195="7",BH195,0),2)</f>
        <v>0</v>
      </c>
      <c r="AE195" s="161">
        <f>ROUND(IF(AQ195="7",BI195,0),2)</f>
        <v>0</v>
      </c>
      <c r="AF195" s="161">
        <f>ROUND(IF(AQ195="2",BH195,0),2)</f>
        <v>0</v>
      </c>
      <c r="AG195" s="161">
        <f>ROUND(IF(AQ195="2",BI195,0),2)</f>
        <v>0</v>
      </c>
      <c r="AH195" s="161">
        <f>ROUND(IF(AQ195="0",BJ195,0),2)</f>
        <v>0</v>
      </c>
      <c r="AI195" s="163" t="s">
        <v>53</v>
      </c>
      <c r="AJ195" s="161">
        <f>IF(AN195=0,J195,0)</f>
        <v>0</v>
      </c>
      <c r="AK195" s="161">
        <f>IF(AN195=12,J195,0)</f>
        <v>0</v>
      </c>
      <c r="AL195" s="161">
        <f>IF(AN195=21,J195,0)</f>
        <v>0</v>
      </c>
      <c r="AN195" s="161">
        <v>21</v>
      </c>
      <c r="AO195" s="161">
        <f>G195*0.052555084</f>
        <v>0</v>
      </c>
      <c r="AP195" s="161">
        <f>G195*(1-0.052555084)</f>
        <v>0</v>
      </c>
      <c r="AQ195" s="162" t="s">
        <v>166</v>
      </c>
      <c r="AV195" s="161">
        <f>ROUND(AW195+AX195,2)</f>
        <v>0</v>
      </c>
      <c r="AW195" s="161">
        <f>ROUND(F195*AO195,2)</f>
        <v>0</v>
      </c>
      <c r="AX195" s="161">
        <f>ROUND(F195*AP195,2)</f>
        <v>0</v>
      </c>
      <c r="AY195" s="162" t="s">
        <v>349</v>
      </c>
      <c r="AZ195" s="162" t="s">
        <v>335</v>
      </c>
      <c r="BA195" s="163" t="s">
        <v>117</v>
      </c>
      <c r="BC195" s="161">
        <f>AW195+AX195</f>
        <v>0</v>
      </c>
      <c r="BD195" s="161">
        <f>G195/(100-BE195)*100</f>
        <v>0</v>
      </c>
      <c r="BE195" s="161">
        <v>0</v>
      </c>
      <c r="BF195" s="161">
        <f>L195</f>
        <v>0</v>
      </c>
      <c r="BH195" s="161">
        <f>F195*AO195</f>
        <v>0</v>
      </c>
      <c r="BI195" s="161">
        <f>F195*AP195</f>
        <v>0</v>
      </c>
      <c r="BJ195" s="161">
        <f>F195*G195</f>
        <v>0</v>
      </c>
      <c r="BK195" s="162" t="s">
        <v>116</v>
      </c>
      <c r="BL195" s="161">
        <v>722</v>
      </c>
      <c r="BW195" s="161">
        <v>21</v>
      </c>
      <c r="BX195" s="160" t="s">
        <v>352</v>
      </c>
    </row>
    <row r="196" spans="1:76" x14ac:dyDescent="0.25">
      <c r="A196" s="179"/>
      <c r="C196" s="178" t="s">
        <v>178</v>
      </c>
      <c r="D196" s="178" t="s">
        <v>53</v>
      </c>
      <c r="F196" s="177">
        <v>2</v>
      </c>
      <c r="M196" s="176"/>
    </row>
    <row r="197" spans="1:76" x14ac:dyDescent="0.25">
      <c r="A197" s="168" t="s">
        <v>351</v>
      </c>
      <c r="B197" s="167" t="s">
        <v>350</v>
      </c>
      <c r="C197" s="88" t="s">
        <v>348</v>
      </c>
      <c r="D197" s="87"/>
      <c r="E197" s="167" t="s">
        <v>206</v>
      </c>
      <c r="F197" s="161">
        <v>3.2000000000000001E-2</v>
      </c>
      <c r="G197" s="165">
        <v>0</v>
      </c>
      <c r="H197" s="161">
        <f>ROUND(F197*AO197,2)</f>
        <v>0</v>
      </c>
      <c r="I197" s="161">
        <f>ROUND(F197*AP197,2)</f>
        <v>0</v>
      </c>
      <c r="J197" s="161">
        <f>ROUND(F197*G197,2)</f>
        <v>0</v>
      </c>
      <c r="K197" s="161">
        <v>0</v>
      </c>
      <c r="L197" s="161">
        <f>F197*K197</f>
        <v>0</v>
      </c>
      <c r="M197" s="164" t="s">
        <v>121</v>
      </c>
      <c r="Z197" s="161">
        <f>ROUND(IF(AQ197="5",BJ197,0),2)</f>
        <v>0</v>
      </c>
      <c r="AB197" s="161">
        <f>ROUND(IF(AQ197="1",BH197,0),2)</f>
        <v>0</v>
      </c>
      <c r="AC197" s="161">
        <f>ROUND(IF(AQ197="1",BI197,0),2)</f>
        <v>0</v>
      </c>
      <c r="AD197" s="161">
        <f>ROUND(IF(AQ197="7",BH197,0),2)</f>
        <v>0</v>
      </c>
      <c r="AE197" s="161">
        <f>ROUND(IF(AQ197="7",BI197,0),2)</f>
        <v>0</v>
      </c>
      <c r="AF197" s="161">
        <f>ROUND(IF(AQ197="2",BH197,0),2)</f>
        <v>0</v>
      </c>
      <c r="AG197" s="161">
        <f>ROUND(IF(AQ197="2",BI197,0),2)</f>
        <v>0</v>
      </c>
      <c r="AH197" s="161">
        <f>ROUND(IF(AQ197="0",BJ197,0),2)</f>
        <v>0</v>
      </c>
      <c r="AI197" s="163" t="s">
        <v>53</v>
      </c>
      <c r="AJ197" s="161">
        <f>IF(AN197=0,J197,0)</f>
        <v>0</v>
      </c>
      <c r="AK197" s="161">
        <f>IF(AN197=12,J197,0)</f>
        <v>0</v>
      </c>
      <c r="AL197" s="161">
        <f>IF(AN197=21,J197,0)</f>
        <v>0</v>
      </c>
      <c r="AN197" s="161">
        <v>21</v>
      </c>
      <c r="AO197" s="161">
        <f>G197*0</f>
        <v>0</v>
      </c>
      <c r="AP197" s="161">
        <f>G197*(1-0)</f>
        <v>0</v>
      </c>
      <c r="AQ197" s="162" t="s">
        <v>205</v>
      </c>
      <c r="AV197" s="161">
        <f>ROUND(AW197+AX197,2)</f>
        <v>0</v>
      </c>
      <c r="AW197" s="161">
        <f>ROUND(F197*AO197,2)</f>
        <v>0</v>
      </c>
      <c r="AX197" s="161">
        <f>ROUND(F197*AP197,2)</f>
        <v>0</v>
      </c>
      <c r="AY197" s="162" t="s">
        <v>349</v>
      </c>
      <c r="AZ197" s="162" t="s">
        <v>335</v>
      </c>
      <c r="BA197" s="163" t="s">
        <v>117</v>
      </c>
      <c r="BC197" s="161">
        <f>AW197+AX197</f>
        <v>0</v>
      </c>
      <c r="BD197" s="161">
        <f>G197/(100-BE197)*100</f>
        <v>0</v>
      </c>
      <c r="BE197" s="161">
        <v>0</v>
      </c>
      <c r="BF197" s="161">
        <f>L197</f>
        <v>0</v>
      </c>
      <c r="BH197" s="161">
        <f>F197*AO197</f>
        <v>0</v>
      </c>
      <c r="BI197" s="161">
        <f>F197*AP197</f>
        <v>0</v>
      </c>
      <c r="BJ197" s="161">
        <f>F197*G197</f>
        <v>0</v>
      </c>
      <c r="BK197" s="162" t="s">
        <v>116</v>
      </c>
      <c r="BL197" s="161">
        <v>722</v>
      </c>
      <c r="BW197" s="161">
        <v>21</v>
      </c>
      <c r="BX197" s="160" t="s">
        <v>348</v>
      </c>
    </row>
    <row r="198" spans="1:76" x14ac:dyDescent="0.25">
      <c r="A198" s="175" t="s">
        <v>53</v>
      </c>
      <c r="B198" s="174" t="s">
        <v>347</v>
      </c>
      <c r="C198" s="173" t="s">
        <v>346</v>
      </c>
      <c r="D198" s="172"/>
      <c r="E198" s="171" t="s">
        <v>1</v>
      </c>
      <c r="F198" s="171" t="s">
        <v>1</v>
      </c>
      <c r="G198" s="171" t="s">
        <v>1</v>
      </c>
      <c r="H198" s="169">
        <f>ROUND(SUM(H199:H203),2)</f>
        <v>0</v>
      </c>
      <c r="I198" s="169">
        <f>ROUND(SUM(I199:I203),2)</f>
        <v>0</v>
      </c>
      <c r="J198" s="169">
        <f>ROUND(SUM(J199:J203),2)</f>
        <v>0</v>
      </c>
      <c r="K198" s="163" t="s">
        <v>53</v>
      </c>
      <c r="L198" s="169">
        <f>SUM(L199:L203)</f>
        <v>1.7500000000000002E-2</v>
      </c>
      <c r="M198" s="170" t="s">
        <v>53</v>
      </c>
      <c r="AI198" s="163" t="s">
        <v>53</v>
      </c>
      <c r="AS198" s="169">
        <f>SUM(AJ199:AJ203)</f>
        <v>0</v>
      </c>
      <c r="AT198" s="169">
        <f>SUM(AK199:AK203)</f>
        <v>0</v>
      </c>
      <c r="AU198" s="169">
        <f>SUM(AL199:AL203)</f>
        <v>0</v>
      </c>
    </row>
    <row r="199" spans="1:76" x14ac:dyDescent="0.25">
      <c r="A199" s="168" t="s">
        <v>345</v>
      </c>
      <c r="B199" s="167" t="s">
        <v>344</v>
      </c>
      <c r="C199" s="88" t="s">
        <v>343</v>
      </c>
      <c r="D199" s="87"/>
      <c r="E199" s="167" t="s">
        <v>211</v>
      </c>
      <c r="F199" s="161">
        <v>1</v>
      </c>
      <c r="G199" s="165">
        <v>0</v>
      </c>
      <c r="H199" s="161">
        <f>ROUND(F199*AO199,2)</f>
        <v>0</v>
      </c>
      <c r="I199" s="161">
        <f>ROUND(F199*AP199,2)</f>
        <v>0</v>
      </c>
      <c r="J199" s="161">
        <f>ROUND(F199*G199,2)</f>
        <v>0</v>
      </c>
      <c r="K199" s="161">
        <v>1.7500000000000002E-2</v>
      </c>
      <c r="L199" s="161">
        <f>F199*K199</f>
        <v>1.7500000000000002E-2</v>
      </c>
      <c r="M199" s="164" t="s">
        <v>121</v>
      </c>
      <c r="Z199" s="161">
        <f>ROUND(IF(AQ199="5",BJ199,0),2)</f>
        <v>0</v>
      </c>
      <c r="AB199" s="161">
        <f>ROUND(IF(AQ199="1",BH199,0),2)</f>
        <v>0</v>
      </c>
      <c r="AC199" s="161">
        <f>ROUND(IF(AQ199="1",BI199,0),2)</f>
        <v>0</v>
      </c>
      <c r="AD199" s="161">
        <f>ROUND(IF(AQ199="7",BH199,0),2)</f>
        <v>0</v>
      </c>
      <c r="AE199" s="161">
        <f>ROUND(IF(AQ199="7",BI199,0),2)</f>
        <v>0</v>
      </c>
      <c r="AF199" s="161">
        <f>ROUND(IF(AQ199="2",BH199,0),2)</f>
        <v>0</v>
      </c>
      <c r="AG199" s="161">
        <f>ROUND(IF(AQ199="2",BI199,0),2)</f>
        <v>0</v>
      </c>
      <c r="AH199" s="161">
        <f>ROUND(IF(AQ199="0",BJ199,0),2)</f>
        <v>0</v>
      </c>
      <c r="AI199" s="163" t="s">
        <v>53</v>
      </c>
      <c r="AJ199" s="161">
        <f>IF(AN199=0,J199,0)</f>
        <v>0</v>
      </c>
      <c r="AK199" s="161">
        <f>IF(AN199=12,J199,0)</f>
        <v>0</v>
      </c>
      <c r="AL199" s="161">
        <f>IF(AN199=21,J199,0)</f>
        <v>0</v>
      </c>
      <c r="AN199" s="161">
        <v>21</v>
      </c>
      <c r="AO199" s="161">
        <f>G199*1</f>
        <v>0</v>
      </c>
      <c r="AP199" s="161">
        <f>G199*(1-1)</f>
        <v>0</v>
      </c>
      <c r="AQ199" s="162" t="s">
        <v>166</v>
      </c>
      <c r="AV199" s="161">
        <f>ROUND(AW199+AX199,2)</f>
        <v>0</v>
      </c>
      <c r="AW199" s="161">
        <f>ROUND(F199*AO199,2)</f>
        <v>0</v>
      </c>
      <c r="AX199" s="161">
        <f>ROUND(F199*AP199,2)</f>
        <v>0</v>
      </c>
      <c r="AY199" s="162" t="s">
        <v>336</v>
      </c>
      <c r="AZ199" s="162" t="s">
        <v>335</v>
      </c>
      <c r="BA199" s="163" t="s">
        <v>117</v>
      </c>
      <c r="BC199" s="161">
        <f>AW199+AX199</f>
        <v>0</v>
      </c>
      <c r="BD199" s="161">
        <f>G199/(100-BE199)*100</f>
        <v>0</v>
      </c>
      <c r="BE199" s="161">
        <v>0</v>
      </c>
      <c r="BF199" s="161">
        <f>L199</f>
        <v>1.7500000000000002E-2</v>
      </c>
      <c r="BH199" s="161">
        <f>F199*AO199</f>
        <v>0</v>
      </c>
      <c r="BI199" s="161">
        <f>F199*AP199</f>
        <v>0</v>
      </c>
      <c r="BJ199" s="161">
        <f>F199*G199</f>
        <v>0</v>
      </c>
      <c r="BK199" s="162" t="s">
        <v>246</v>
      </c>
      <c r="BL199" s="161">
        <v>724</v>
      </c>
      <c r="BW199" s="161">
        <v>21</v>
      </c>
      <c r="BX199" s="160" t="s">
        <v>343</v>
      </c>
    </row>
    <row r="200" spans="1:76" x14ac:dyDescent="0.25">
      <c r="A200" s="179"/>
      <c r="C200" s="178" t="s">
        <v>114</v>
      </c>
      <c r="D200" s="178" t="s">
        <v>342</v>
      </c>
      <c r="F200" s="177">
        <v>1</v>
      </c>
      <c r="M200" s="176"/>
    </row>
    <row r="201" spans="1:76" x14ac:dyDescent="0.25">
      <c r="A201" s="168" t="s">
        <v>341</v>
      </c>
      <c r="B201" s="167" t="s">
        <v>340</v>
      </c>
      <c r="C201" s="88" t="s">
        <v>339</v>
      </c>
      <c r="D201" s="87"/>
      <c r="E201" s="167" t="s">
        <v>211</v>
      </c>
      <c r="F201" s="161">
        <v>1</v>
      </c>
      <c r="G201" s="165">
        <v>0</v>
      </c>
      <c r="H201" s="161">
        <f>ROUND(F201*AO201,2)</f>
        <v>0</v>
      </c>
      <c r="I201" s="161">
        <f>ROUND(F201*AP201,2)</f>
        <v>0</v>
      </c>
      <c r="J201" s="161">
        <f>ROUND(F201*G201,2)</f>
        <v>0</v>
      </c>
      <c r="K201" s="161">
        <v>0</v>
      </c>
      <c r="L201" s="161">
        <f>F201*K201</f>
        <v>0</v>
      </c>
      <c r="M201" s="164" t="s">
        <v>121</v>
      </c>
      <c r="Z201" s="161">
        <f>ROUND(IF(AQ201="5",BJ201,0),2)</f>
        <v>0</v>
      </c>
      <c r="AB201" s="161">
        <f>ROUND(IF(AQ201="1",BH201,0),2)</f>
        <v>0</v>
      </c>
      <c r="AC201" s="161">
        <f>ROUND(IF(AQ201="1",BI201,0),2)</f>
        <v>0</v>
      </c>
      <c r="AD201" s="161">
        <f>ROUND(IF(AQ201="7",BH201,0),2)</f>
        <v>0</v>
      </c>
      <c r="AE201" s="161">
        <f>ROUND(IF(AQ201="7",BI201,0),2)</f>
        <v>0</v>
      </c>
      <c r="AF201" s="161">
        <f>ROUND(IF(AQ201="2",BH201,0),2)</f>
        <v>0</v>
      </c>
      <c r="AG201" s="161">
        <f>ROUND(IF(AQ201="2",BI201,0),2)</f>
        <v>0</v>
      </c>
      <c r="AH201" s="161">
        <f>ROUND(IF(AQ201="0",BJ201,0),2)</f>
        <v>0</v>
      </c>
      <c r="AI201" s="163" t="s">
        <v>53</v>
      </c>
      <c r="AJ201" s="161">
        <f>IF(AN201=0,J201,0)</f>
        <v>0</v>
      </c>
      <c r="AK201" s="161">
        <f>IF(AN201=12,J201,0)</f>
        <v>0</v>
      </c>
      <c r="AL201" s="161">
        <f>IF(AN201=21,J201,0)</f>
        <v>0</v>
      </c>
      <c r="AN201" s="161">
        <v>21</v>
      </c>
      <c r="AO201" s="161">
        <f>G201*0.001764706</f>
        <v>0</v>
      </c>
      <c r="AP201" s="161">
        <f>G201*(1-0.001764706)</f>
        <v>0</v>
      </c>
      <c r="AQ201" s="162" t="s">
        <v>166</v>
      </c>
      <c r="AV201" s="161">
        <f>ROUND(AW201+AX201,2)</f>
        <v>0</v>
      </c>
      <c r="AW201" s="161">
        <f>ROUND(F201*AO201,2)</f>
        <v>0</v>
      </c>
      <c r="AX201" s="161">
        <f>ROUND(F201*AP201,2)</f>
        <v>0</v>
      </c>
      <c r="AY201" s="162" t="s">
        <v>336</v>
      </c>
      <c r="AZ201" s="162" t="s">
        <v>335</v>
      </c>
      <c r="BA201" s="163" t="s">
        <v>117</v>
      </c>
      <c r="BC201" s="161">
        <f>AW201+AX201</f>
        <v>0</v>
      </c>
      <c r="BD201" s="161">
        <f>G201/(100-BE201)*100</f>
        <v>0</v>
      </c>
      <c r="BE201" s="161">
        <v>0</v>
      </c>
      <c r="BF201" s="161">
        <f>L201</f>
        <v>0</v>
      </c>
      <c r="BH201" s="161">
        <f>F201*AO201</f>
        <v>0</v>
      </c>
      <c r="BI201" s="161">
        <f>F201*AP201</f>
        <v>0</v>
      </c>
      <c r="BJ201" s="161">
        <f>F201*G201</f>
        <v>0</v>
      </c>
      <c r="BK201" s="162" t="s">
        <v>116</v>
      </c>
      <c r="BL201" s="161">
        <v>724</v>
      </c>
      <c r="BW201" s="161">
        <v>21</v>
      </c>
      <c r="BX201" s="160" t="s">
        <v>339</v>
      </c>
    </row>
    <row r="202" spans="1:76" x14ac:dyDescent="0.25">
      <c r="A202" s="179"/>
      <c r="C202" s="178" t="s">
        <v>114</v>
      </c>
      <c r="D202" s="178" t="s">
        <v>53</v>
      </c>
      <c r="F202" s="177">
        <v>1</v>
      </c>
      <c r="M202" s="176"/>
    </row>
    <row r="203" spans="1:76" x14ac:dyDescent="0.25">
      <c r="A203" s="168" t="s">
        <v>338</v>
      </c>
      <c r="B203" s="167" t="s">
        <v>337</v>
      </c>
      <c r="C203" s="88" t="s">
        <v>334</v>
      </c>
      <c r="D203" s="87"/>
      <c r="E203" s="167" t="s">
        <v>206</v>
      </c>
      <c r="F203" s="161">
        <v>1.7999999999999999E-2</v>
      </c>
      <c r="G203" s="165">
        <v>0</v>
      </c>
      <c r="H203" s="161">
        <f>ROUND(F203*AO203,2)</f>
        <v>0</v>
      </c>
      <c r="I203" s="161">
        <f>ROUND(F203*AP203,2)</f>
        <v>0</v>
      </c>
      <c r="J203" s="161">
        <f>ROUND(F203*G203,2)</f>
        <v>0</v>
      </c>
      <c r="K203" s="161">
        <v>0</v>
      </c>
      <c r="L203" s="161">
        <f>F203*K203</f>
        <v>0</v>
      </c>
      <c r="M203" s="164" t="s">
        <v>121</v>
      </c>
      <c r="Z203" s="161">
        <f>ROUND(IF(AQ203="5",BJ203,0),2)</f>
        <v>0</v>
      </c>
      <c r="AB203" s="161">
        <f>ROUND(IF(AQ203="1",BH203,0),2)</f>
        <v>0</v>
      </c>
      <c r="AC203" s="161">
        <f>ROUND(IF(AQ203="1",BI203,0),2)</f>
        <v>0</v>
      </c>
      <c r="AD203" s="161">
        <f>ROUND(IF(AQ203="7",BH203,0),2)</f>
        <v>0</v>
      </c>
      <c r="AE203" s="161">
        <f>ROUND(IF(AQ203="7",BI203,0),2)</f>
        <v>0</v>
      </c>
      <c r="AF203" s="161">
        <f>ROUND(IF(AQ203="2",BH203,0),2)</f>
        <v>0</v>
      </c>
      <c r="AG203" s="161">
        <f>ROUND(IF(AQ203="2",BI203,0),2)</f>
        <v>0</v>
      </c>
      <c r="AH203" s="161">
        <f>ROUND(IF(AQ203="0",BJ203,0),2)</f>
        <v>0</v>
      </c>
      <c r="AI203" s="163" t="s">
        <v>53</v>
      </c>
      <c r="AJ203" s="161">
        <f>IF(AN203=0,J203,0)</f>
        <v>0</v>
      </c>
      <c r="AK203" s="161">
        <f>IF(AN203=12,J203,0)</f>
        <v>0</v>
      </c>
      <c r="AL203" s="161">
        <f>IF(AN203=21,J203,0)</f>
        <v>0</v>
      </c>
      <c r="AN203" s="161">
        <v>21</v>
      </c>
      <c r="AO203" s="161">
        <f>G203*0</f>
        <v>0</v>
      </c>
      <c r="AP203" s="161">
        <f>G203*(1-0)</f>
        <v>0</v>
      </c>
      <c r="AQ203" s="162" t="s">
        <v>205</v>
      </c>
      <c r="AV203" s="161">
        <f>ROUND(AW203+AX203,2)</f>
        <v>0</v>
      </c>
      <c r="AW203" s="161">
        <f>ROUND(F203*AO203,2)</f>
        <v>0</v>
      </c>
      <c r="AX203" s="161">
        <f>ROUND(F203*AP203,2)</f>
        <v>0</v>
      </c>
      <c r="AY203" s="162" t="s">
        <v>336</v>
      </c>
      <c r="AZ203" s="162" t="s">
        <v>335</v>
      </c>
      <c r="BA203" s="163" t="s">
        <v>117</v>
      </c>
      <c r="BC203" s="161">
        <f>AW203+AX203</f>
        <v>0</v>
      </c>
      <c r="BD203" s="161">
        <f>G203/(100-BE203)*100</f>
        <v>0</v>
      </c>
      <c r="BE203" s="161">
        <v>0</v>
      </c>
      <c r="BF203" s="161">
        <f>L203</f>
        <v>0</v>
      </c>
      <c r="BH203" s="161">
        <f>F203*AO203</f>
        <v>0</v>
      </c>
      <c r="BI203" s="161">
        <f>F203*AP203</f>
        <v>0</v>
      </c>
      <c r="BJ203" s="161">
        <f>F203*G203</f>
        <v>0</v>
      </c>
      <c r="BK203" s="162" t="s">
        <v>116</v>
      </c>
      <c r="BL203" s="161">
        <v>724</v>
      </c>
      <c r="BW203" s="161">
        <v>21</v>
      </c>
      <c r="BX203" s="160" t="s">
        <v>334</v>
      </c>
    </row>
    <row r="204" spans="1:76" x14ac:dyDescent="0.25">
      <c r="A204" s="175" t="s">
        <v>53</v>
      </c>
      <c r="B204" s="174" t="s">
        <v>333</v>
      </c>
      <c r="C204" s="173" t="s">
        <v>332</v>
      </c>
      <c r="D204" s="172"/>
      <c r="E204" s="171" t="s">
        <v>1</v>
      </c>
      <c r="F204" s="171" t="s">
        <v>1</v>
      </c>
      <c r="G204" s="171" t="s">
        <v>1</v>
      </c>
      <c r="H204" s="169">
        <f>ROUND(SUM(H205:H256),2)</f>
        <v>0</v>
      </c>
      <c r="I204" s="169">
        <f>ROUND(SUM(I205:I256),2)</f>
        <v>0</v>
      </c>
      <c r="J204" s="169">
        <f>ROUND(SUM(J205:J256),2)</f>
        <v>0</v>
      </c>
      <c r="K204" s="163" t="s">
        <v>53</v>
      </c>
      <c r="L204" s="169">
        <f>SUM(L205:L256)</f>
        <v>24.689705600000003</v>
      </c>
      <c r="M204" s="170" t="s">
        <v>53</v>
      </c>
      <c r="AI204" s="163" t="s">
        <v>53</v>
      </c>
      <c r="AS204" s="169">
        <f>SUM(AJ205:AJ256)</f>
        <v>0</v>
      </c>
      <c r="AT204" s="169">
        <f>SUM(AK205:AK256)</f>
        <v>0</v>
      </c>
      <c r="AU204" s="169">
        <f>SUM(AL205:AL256)</f>
        <v>0</v>
      </c>
    </row>
    <row r="205" spans="1:76" x14ac:dyDescent="0.25">
      <c r="A205" s="168" t="s">
        <v>331</v>
      </c>
      <c r="B205" s="167" t="s">
        <v>330</v>
      </c>
      <c r="C205" s="88" t="s">
        <v>329</v>
      </c>
      <c r="D205" s="87"/>
      <c r="E205" s="167" t="s">
        <v>167</v>
      </c>
      <c r="F205" s="161">
        <v>34</v>
      </c>
      <c r="G205" s="165">
        <v>0</v>
      </c>
      <c r="H205" s="161">
        <f>ROUND(F205*AO205,2)</f>
        <v>0</v>
      </c>
      <c r="I205" s="161">
        <f>ROUND(F205*AP205,2)</f>
        <v>0</v>
      </c>
      <c r="J205" s="161">
        <f>ROUND(F205*G205,2)</f>
        <v>0</v>
      </c>
      <c r="K205" s="161">
        <v>1.6000000000000001E-4</v>
      </c>
      <c r="L205" s="161">
        <f>F205*K205</f>
        <v>5.4400000000000004E-3</v>
      </c>
      <c r="M205" s="164" t="s">
        <v>121</v>
      </c>
      <c r="Z205" s="161">
        <f>ROUND(IF(AQ205="5",BJ205,0),2)</f>
        <v>0</v>
      </c>
      <c r="AB205" s="161">
        <f>ROUND(IF(AQ205="1",BH205,0),2)</f>
        <v>0</v>
      </c>
      <c r="AC205" s="161">
        <f>ROUND(IF(AQ205="1",BI205,0),2)</f>
        <v>0</v>
      </c>
      <c r="AD205" s="161">
        <f>ROUND(IF(AQ205="7",BH205,0),2)</f>
        <v>0</v>
      </c>
      <c r="AE205" s="161">
        <f>ROUND(IF(AQ205="7",BI205,0),2)</f>
        <v>0</v>
      </c>
      <c r="AF205" s="161">
        <f>ROUND(IF(AQ205="2",BH205,0),2)</f>
        <v>0</v>
      </c>
      <c r="AG205" s="161">
        <f>ROUND(IF(AQ205="2",BI205,0),2)</f>
        <v>0</v>
      </c>
      <c r="AH205" s="161">
        <f>ROUND(IF(AQ205="0",BJ205,0),2)</f>
        <v>0</v>
      </c>
      <c r="AI205" s="163" t="s">
        <v>53</v>
      </c>
      <c r="AJ205" s="161">
        <f>IF(AN205=0,J205,0)</f>
        <v>0</v>
      </c>
      <c r="AK205" s="161">
        <f>IF(AN205=12,J205,0)</f>
        <v>0</v>
      </c>
      <c r="AL205" s="161">
        <f>IF(AN205=21,J205,0)</f>
        <v>0</v>
      </c>
      <c r="AN205" s="161">
        <v>21</v>
      </c>
      <c r="AO205" s="161">
        <f>G205*0.019705882</f>
        <v>0</v>
      </c>
      <c r="AP205" s="161">
        <f>G205*(1-0.019705882)</f>
        <v>0</v>
      </c>
      <c r="AQ205" s="162" t="s">
        <v>166</v>
      </c>
      <c r="AV205" s="161">
        <f>ROUND(AW205+AX205,2)</f>
        <v>0</v>
      </c>
      <c r="AW205" s="161">
        <f>ROUND(F205*AO205,2)</f>
        <v>0</v>
      </c>
      <c r="AX205" s="161">
        <f>ROUND(F205*AP205,2)</f>
        <v>0</v>
      </c>
      <c r="AY205" s="162" t="s">
        <v>224</v>
      </c>
      <c r="AZ205" s="162" t="s">
        <v>176</v>
      </c>
      <c r="BA205" s="163" t="s">
        <v>117</v>
      </c>
      <c r="BC205" s="161">
        <f>AW205+AX205</f>
        <v>0</v>
      </c>
      <c r="BD205" s="161">
        <f>G205/(100-BE205)*100</f>
        <v>0</v>
      </c>
      <c r="BE205" s="161">
        <v>0</v>
      </c>
      <c r="BF205" s="161">
        <f>L205</f>
        <v>5.4400000000000004E-3</v>
      </c>
      <c r="BH205" s="161">
        <f>F205*AO205</f>
        <v>0</v>
      </c>
      <c r="BI205" s="161">
        <f>F205*AP205</f>
        <v>0</v>
      </c>
      <c r="BJ205" s="161">
        <f>F205*G205</f>
        <v>0</v>
      </c>
      <c r="BK205" s="162" t="s">
        <v>116</v>
      </c>
      <c r="BL205" s="161">
        <v>762</v>
      </c>
      <c r="BW205" s="161">
        <v>21</v>
      </c>
      <c r="BX205" s="160" t="s">
        <v>329</v>
      </c>
    </row>
    <row r="206" spans="1:76" x14ac:dyDescent="0.25">
      <c r="A206" s="179"/>
      <c r="C206" s="178" t="s">
        <v>328</v>
      </c>
      <c r="D206" s="178" t="s">
        <v>195</v>
      </c>
      <c r="F206" s="177">
        <v>34</v>
      </c>
      <c r="M206" s="176"/>
    </row>
    <row r="207" spans="1:76" x14ac:dyDescent="0.25">
      <c r="A207" s="168" t="s">
        <v>327</v>
      </c>
      <c r="B207" s="167" t="s">
        <v>323</v>
      </c>
      <c r="C207" s="88" t="s">
        <v>326</v>
      </c>
      <c r="D207" s="87"/>
      <c r="E207" s="167" t="s">
        <v>167</v>
      </c>
      <c r="F207" s="161">
        <v>22.6</v>
      </c>
      <c r="G207" s="165">
        <v>0</v>
      </c>
      <c r="H207" s="161">
        <f>ROUND(F207*AO207,2)</f>
        <v>0</v>
      </c>
      <c r="I207" s="161">
        <f>ROUND(F207*AP207,2)</f>
        <v>0</v>
      </c>
      <c r="J207" s="161">
        <f>ROUND(F207*G207,2)</f>
        <v>0</v>
      </c>
      <c r="K207" s="161">
        <v>1.6000000000000001E-4</v>
      </c>
      <c r="L207" s="161">
        <f>F207*K207</f>
        <v>3.6160000000000007E-3</v>
      </c>
      <c r="M207" s="164" t="s">
        <v>121</v>
      </c>
      <c r="Z207" s="161">
        <f>ROUND(IF(AQ207="5",BJ207,0),2)</f>
        <v>0</v>
      </c>
      <c r="AB207" s="161">
        <f>ROUND(IF(AQ207="1",BH207,0),2)</f>
        <v>0</v>
      </c>
      <c r="AC207" s="161">
        <f>ROUND(IF(AQ207="1",BI207,0),2)</f>
        <v>0</v>
      </c>
      <c r="AD207" s="161">
        <f>ROUND(IF(AQ207="7",BH207,0),2)</f>
        <v>0</v>
      </c>
      <c r="AE207" s="161">
        <f>ROUND(IF(AQ207="7",BI207,0),2)</f>
        <v>0</v>
      </c>
      <c r="AF207" s="161">
        <f>ROUND(IF(AQ207="2",BH207,0),2)</f>
        <v>0</v>
      </c>
      <c r="AG207" s="161">
        <f>ROUND(IF(AQ207="2",BI207,0),2)</f>
        <v>0</v>
      </c>
      <c r="AH207" s="161">
        <f>ROUND(IF(AQ207="0",BJ207,0),2)</f>
        <v>0</v>
      </c>
      <c r="AI207" s="163" t="s">
        <v>53</v>
      </c>
      <c r="AJ207" s="161">
        <f>IF(AN207=0,J207,0)</f>
        <v>0</v>
      </c>
      <c r="AK207" s="161">
        <f>IF(AN207=12,J207,0)</f>
        <v>0</v>
      </c>
      <c r="AL207" s="161">
        <f>IF(AN207=21,J207,0)</f>
        <v>0</v>
      </c>
      <c r="AN207" s="161">
        <v>21</v>
      </c>
      <c r="AO207" s="161">
        <f>G207*0.034107804</f>
        <v>0</v>
      </c>
      <c r="AP207" s="161">
        <f>G207*(1-0.034107804)</f>
        <v>0</v>
      </c>
      <c r="AQ207" s="162" t="s">
        <v>166</v>
      </c>
      <c r="AV207" s="161">
        <f>ROUND(AW207+AX207,2)</f>
        <v>0</v>
      </c>
      <c r="AW207" s="161">
        <f>ROUND(F207*AO207,2)</f>
        <v>0</v>
      </c>
      <c r="AX207" s="161">
        <f>ROUND(F207*AP207,2)</f>
        <v>0</v>
      </c>
      <c r="AY207" s="162" t="s">
        <v>224</v>
      </c>
      <c r="AZ207" s="162" t="s">
        <v>176</v>
      </c>
      <c r="BA207" s="163" t="s">
        <v>117</v>
      </c>
      <c r="BC207" s="161">
        <f>AW207+AX207</f>
        <v>0</v>
      </c>
      <c r="BD207" s="161">
        <f>G207/(100-BE207)*100</f>
        <v>0</v>
      </c>
      <c r="BE207" s="161">
        <v>0</v>
      </c>
      <c r="BF207" s="161">
        <f>L207</f>
        <v>3.6160000000000007E-3</v>
      </c>
      <c r="BH207" s="161">
        <f>F207*AO207</f>
        <v>0</v>
      </c>
      <c r="BI207" s="161">
        <f>F207*AP207</f>
        <v>0</v>
      </c>
      <c r="BJ207" s="161">
        <f>F207*G207</f>
        <v>0</v>
      </c>
      <c r="BK207" s="162" t="s">
        <v>116</v>
      </c>
      <c r="BL207" s="161">
        <v>762</v>
      </c>
      <c r="BW207" s="161">
        <v>21</v>
      </c>
      <c r="BX207" s="160" t="s">
        <v>326</v>
      </c>
    </row>
    <row r="208" spans="1:76" x14ac:dyDescent="0.25">
      <c r="A208" s="179"/>
      <c r="C208" s="178" t="s">
        <v>325</v>
      </c>
      <c r="D208" s="178" t="s">
        <v>312</v>
      </c>
      <c r="F208" s="177">
        <v>22.6</v>
      </c>
      <c r="M208" s="176"/>
    </row>
    <row r="209" spans="1:76" x14ac:dyDescent="0.25">
      <c r="A209" s="168" t="s">
        <v>324</v>
      </c>
      <c r="B209" s="167" t="s">
        <v>323</v>
      </c>
      <c r="C209" s="88" t="s">
        <v>322</v>
      </c>
      <c r="D209" s="87"/>
      <c r="E209" s="167" t="s">
        <v>167</v>
      </c>
      <c r="F209" s="161">
        <v>59.73</v>
      </c>
      <c r="G209" s="165">
        <v>0</v>
      </c>
      <c r="H209" s="161">
        <f>ROUND(F209*AO209,2)</f>
        <v>0</v>
      </c>
      <c r="I209" s="161">
        <f>ROUND(F209*AP209,2)</f>
        <v>0</v>
      </c>
      <c r="J209" s="161">
        <f>ROUND(F209*G209,2)</f>
        <v>0</v>
      </c>
      <c r="K209" s="161">
        <v>1.6000000000000001E-4</v>
      </c>
      <c r="L209" s="161">
        <f>F209*K209</f>
        <v>9.5568000000000007E-3</v>
      </c>
      <c r="M209" s="164" t="s">
        <v>121</v>
      </c>
      <c r="Z209" s="161">
        <f>ROUND(IF(AQ209="5",BJ209,0),2)</f>
        <v>0</v>
      </c>
      <c r="AB209" s="161">
        <f>ROUND(IF(AQ209="1",BH209,0),2)</f>
        <v>0</v>
      </c>
      <c r="AC209" s="161">
        <f>ROUND(IF(AQ209="1",BI209,0),2)</f>
        <v>0</v>
      </c>
      <c r="AD209" s="161">
        <f>ROUND(IF(AQ209="7",BH209,0),2)</f>
        <v>0</v>
      </c>
      <c r="AE209" s="161">
        <f>ROUND(IF(AQ209="7",BI209,0),2)</f>
        <v>0</v>
      </c>
      <c r="AF209" s="161">
        <f>ROUND(IF(AQ209="2",BH209,0),2)</f>
        <v>0</v>
      </c>
      <c r="AG209" s="161">
        <f>ROUND(IF(AQ209="2",BI209,0),2)</f>
        <v>0</v>
      </c>
      <c r="AH209" s="161">
        <f>ROUND(IF(AQ209="0",BJ209,0),2)</f>
        <v>0</v>
      </c>
      <c r="AI209" s="163" t="s">
        <v>53</v>
      </c>
      <c r="AJ209" s="161">
        <f>IF(AN209=0,J209,0)</f>
        <v>0</v>
      </c>
      <c r="AK209" s="161">
        <f>IF(AN209=12,J209,0)</f>
        <v>0</v>
      </c>
      <c r="AL209" s="161">
        <f>IF(AN209=21,J209,0)</f>
        <v>0</v>
      </c>
      <c r="AN209" s="161">
        <v>21</v>
      </c>
      <c r="AO209" s="161">
        <f>G209*0.03410862</f>
        <v>0</v>
      </c>
      <c r="AP209" s="161">
        <f>G209*(1-0.03410862)</f>
        <v>0</v>
      </c>
      <c r="AQ209" s="162" t="s">
        <v>166</v>
      </c>
      <c r="AV209" s="161">
        <f>ROUND(AW209+AX209,2)</f>
        <v>0</v>
      </c>
      <c r="AW209" s="161">
        <f>ROUND(F209*AO209,2)</f>
        <v>0</v>
      </c>
      <c r="AX209" s="161">
        <f>ROUND(F209*AP209,2)</f>
        <v>0</v>
      </c>
      <c r="AY209" s="162" t="s">
        <v>224</v>
      </c>
      <c r="AZ209" s="162" t="s">
        <v>176</v>
      </c>
      <c r="BA209" s="163" t="s">
        <v>117</v>
      </c>
      <c r="BC209" s="161">
        <f>AW209+AX209</f>
        <v>0</v>
      </c>
      <c r="BD209" s="161">
        <f>G209/(100-BE209)*100</f>
        <v>0</v>
      </c>
      <c r="BE209" s="161">
        <v>0</v>
      </c>
      <c r="BF209" s="161">
        <f>L209</f>
        <v>9.5568000000000007E-3</v>
      </c>
      <c r="BH209" s="161">
        <f>F209*AO209</f>
        <v>0</v>
      </c>
      <c r="BI209" s="161">
        <f>F209*AP209</f>
        <v>0</v>
      </c>
      <c r="BJ209" s="161">
        <f>F209*G209</f>
        <v>0</v>
      </c>
      <c r="BK209" s="162" t="s">
        <v>116</v>
      </c>
      <c r="BL209" s="161">
        <v>762</v>
      </c>
      <c r="BW209" s="161">
        <v>21</v>
      </c>
      <c r="BX209" s="160" t="s">
        <v>322</v>
      </c>
    </row>
    <row r="210" spans="1:76" x14ac:dyDescent="0.25">
      <c r="A210" s="179"/>
      <c r="C210" s="178" t="s">
        <v>173</v>
      </c>
      <c r="D210" s="178" t="s">
        <v>172</v>
      </c>
      <c r="F210" s="177">
        <v>59.73</v>
      </c>
      <c r="M210" s="176"/>
    </row>
    <row r="211" spans="1:76" x14ac:dyDescent="0.25">
      <c r="A211" s="168" t="s">
        <v>321</v>
      </c>
      <c r="B211" s="167" t="s">
        <v>320</v>
      </c>
      <c r="C211" s="88" t="s">
        <v>319</v>
      </c>
      <c r="D211" s="87"/>
      <c r="E211" s="167" t="s">
        <v>167</v>
      </c>
      <c r="F211" s="161">
        <v>69.790000000000006</v>
      </c>
      <c r="G211" s="165">
        <v>0</v>
      </c>
      <c r="H211" s="161">
        <f>ROUND(F211*AO211,2)</f>
        <v>0</v>
      </c>
      <c r="I211" s="161">
        <f>ROUND(F211*AP211,2)</f>
        <v>0</v>
      </c>
      <c r="J211" s="161">
        <f>ROUND(F211*G211,2)</f>
        <v>0</v>
      </c>
      <c r="K211" s="161">
        <v>0</v>
      </c>
      <c r="L211" s="161">
        <f>F211*K211</f>
        <v>0</v>
      </c>
      <c r="M211" s="164" t="s">
        <v>121</v>
      </c>
      <c r="Z211" s="161">
        <f>ROUND(IF(AQ211="5",BJ211,0),2)</f>
        <v>0</v>
      </c>
      <c r="AB211" s="161">
        <f>ROUND(IF(AQ211="1",BH211,0),2)</f>
        <v>0</v>
      </c>
      <c r="AC211" s="161">
        <f>ROUND(IF(AQ211="1",BI211,0),2)</f>
        <v>0</v>
      </c>
      <c r="AD211" s="161">
        <f>ROUND(IF(AQ211="7",BH211,0),2)</f>
        <v>0</v>
      </c>
      <c r="AE211" s="161">
        <f>ROUND(IF(AQ211="7",BI211,0),2)</f>
        <v>0</v>
      </c>
      <c r="AF211" s="161">
        <f>ROUND(IF(AQ211="2",BH211,0),2)</f>
        <v>0</v>
      </c>
      <c r="AG211" s="161">
        <f>ROUND(IF(AQ211="2",BI211,0),2)</f>
        <v>0</v>
      </c>
      <c r="AH211" s="161">
        <f>ROUND(IF(AQ211="0",BJ211,0),2)</f>
        <v>0</v>
      </c>
      <c r="AI211" s="163" t="s">
        <v>53</v>
      </c>
      <c r="AJ211" s="161">
        <f>IF(AN211=0,J211,0)</f>
        <v>0</v>
      </c>
      <c r="AK211" s="161">
        <f>IF(AN211=12,J211,0)</f>
        <v>0</v>
      </c>
      <c r="AL211" s="161">
        <f>IF(AN211=21,J211,0)</f>
        <v>0</v>
      </c>
      <c r="AN211" s="161">
        <v>21</v>
      </c>
      <c r="AO211" s="161">
        <f>G211*0</f>
        <v>0</v>
      </c>
      <c r="AP211" s="161">
        <f>G211*(1-0)</f>
        <v>0</v>
      </c>
      <c r="AQ211" s="162" t="s">
        <v>166</v>
      </c>
      <c r="AV211" s="161">
        <f>ROUND(AW211+AX211,2)</f>
        <v>0</v>
      </c>
      <c r="AW211" s="161">
        <f>ROUND(F211*AO211,2)</f>
        <v>0</v>
      </c>
      <c r="AX211" s="161">
        <f>ROUND(F211*AP211,2)</f>
        <v>0</v>
      </c>
      <c r="AY211" s="162" t="s">
        <v>224</v>
      </c>
      <c r="AZ211" s="162" t="s">
        <v>176</v>
      </c>
      <c r="BA211" s="163" t="s">
        <v>117</v>
      </c>
      <c r="BC211" s="161">
        <f>AW211+AX211</f>
        <v>0</v>
      </c>
      <c r="BD211" s="161">
        <f>G211/(100-BE211)*100</f>
        <v>0</v>
      </c>
      <c r="BE211" s="161">
        <v>0</v>
      </c>
      <c r="BF211" s="161">
        <f>L211</f>
        <v>0</v>
      </c>
      <c r="BH211" s="161">
        <f>F211*AO211</f>
        <v>0</v>
      </c>
      <c r="BI211" s="161">
        <f>F211*AP211</f>
        <v>0</v>
      </c>
      <c r="BJ211" s="161">
        <f>F211*G211</f>
        <v>0</v>
      </c>
      <c r="BK211" s="162" t="s">
        <v>116</v>
      </c>
      <c r="BL211" s="161">
        <v>762</v>
      </c>
      <c r="BW211" s="161">
        <v>21</v>
      </c>
      <c r="BX211" s="160" t="s">
        <v>319</v>
      </c>
    </row>
    <row r="212" spans="1:76" x14ac:dyDescent="0.25">
      <c r="A212" s="179"/>
      <c r="C212" s="178" t="s">
        <v>196</v>
      </c>
      <c r="D212" s="178" t="s">
        <v>309</v>
      </c>
      <c r="F212" s="177">
        <v>69.790000000000006</v>
      </c>
      <c r="M212" s="176"/>
    </row>
    <row r="213" spans="1:76" x14ac:dyDescent="0.25">
      <c r="A213" s="168" t="s">
        <v>318</v>
      </c>
      <c r="B213" s="167" t="s">
        <v>317</v>
      </c>
      <c r="C213" s="180" t="s">
        <v>316</v>
      </c>
      <c r="D213" s="87"/>
      <c r="E213" s="167" t="s">
        <v>217</v>
      </c>
      <c r="F213" s="161">
        <v>1433.6</v>
      </c>
      <c r="G213" s="165">
        <v>0</v>
      </c>
      <c r="H213" s="161">
        <f>ROUND(F213*AO213,2)</f>
        <v>0</v>
      </c>
      <c r="I213" s="161">
        <f>ROUND(F213*AP213,2)</f>
        <v>0</v>
      </c>
      <c r="J213" s="161">
        <f>ROUND(F213*G213,2)</f>
        <v>0</v>
      </c>
      <c r="K213" s="161">
        <v>2E-3</v>
      </c>
      <c r="L213" s="161">
        <f>F213*K213</f>
        <v>2.8672</v>
      </c>
      <c r="M213" s="164" t="s">
        <v>179</v>
      </c>
      <c r="Z213" s="161">
        <f>ROUND(IF(AQ213="5",BJ213,0),2)</f>
        <v>0</v>
      </c>
      <c r="AB213" s="161">
        <f>ROUND(IF(AQ213="1",BH213,0),2)</f>
        <v>0</v>
      </c>
      <c r="AC213" s="161">
        <f>ROUND(IF(AQ213="1",BI213,0),2)</f>
        <v>0</v>
      </c>
      <c r="AD213" s="161">
        <f>ROUND(IF(AQ213="7",BH213,0),2)</f>
        <v>0</v>
      </c>
      <c r="AE213" s="161">
        <f>ROUND(IF(AQ213="7",BI213,0),2)</f>
        <v>0</v>
      </c>
      <c r="AF213" s="161">
        <f>ROUND(IF(AQ213="2",BH213,0),2)</f>
        <v>0</v>
      </c>
      <c r="AG213" s="161">
        <f>ROUND(IF(AQ213="2",BI213,0),2)</f>
        <v>0</v>
      </c>
      <c r="AH213" s="161">
        <f>ROUND(IF(AQ213="0",BJ213,0),2)</f>
        <v>0</v>
      </c>
      <c r="AI213" s="163" t="s">
        <v>53</v>
      </c>
      <c r="AJ213" s="161">
        <f>IF(AN213=0,J213,0)</f>
        <v>0</v>
      </c>
      <c r="AK213" s="161">
        <f>IF(AN213=12,J213,0)</f>
        <v>0</v>
      </c>
      <c r="AL213" s="161">
        <f>IF(AN213=21,J213,0)</f>
        <v>0</v>
      </c>
      <c r="AN213" s="161">
        <v>21</v>
      </c>
      <c r="AO213" s="161">
        <f>G213*1</f>
        <v>0</v>
      </c>
      <c r="AP213" s="161">
        <f>G213*(1-1)</f>
        <v>0</v>
      </c>
      <c r="AQ213" s="162" t="s">
        <v>178</v>
      </c>
      <c r="AV213" s="161">
        <f>ROUND(AW213+AX213,2)</f>
        <v>0</v>
      </c>
      <c r="AW213" s="161">
        <f>ROUND(F213*AO213,2)</f>
        <v>0</v>
      </c>
      <c r="AX213" s="161">
        <f>ROUND(F213*AP213,2)</f>
        <v>0</v>
      </c>
      <c r="AY213" s="162" t="s">
        <v>224</v>
      </c>
      <c r="AZ213" s="162" t="s">
        <v>176</v>
      </c>
      <c r="BA213" s="163" t="s">
        <v>117</v>
      </c>
      <c r="BC213" s="161">
        <f>AW213+AX213</f>
        <v>0</v>
      </c>
      <c r="BD213" s="161">
        <f>G213/(100-BE213)*100</f>
        <v>0</v>
      </c>
      <c r="BE213" s="161">
        <v>0</v>
      </c>
      <c r="BF213" s="161">
        <f>L213</f>
        <v>2.8672</v>
      </c>
      <c r="BH213" s="161">
        <f>F213*AO213</f>
        <v>0</v>
      </c>
      <c r="BI213" s="161">
        <f>F213*AP213</f>
        <v>0</v>
      </c>
      <c r="BJ213" s="161">
        <f>F213*G213</f>
        <v>0</v>
      </c>
      <c r="BK213" s="162" t="s">
        <v>116</v>
      </c>
      <c r="BL213" s="161">
        <v>762</v>
      </c>
      <c r="BW213" s="161">
        <v>21</v>
      </c>
      <c r="BX213" s="160" t="s">
        <v>315</v>
      </c>
    </row>
    <row r="214" spans="1:76" x14ac:dyDescent="0.25">
      <c r="A214" s="179"/>
      <c r="C214" s="178" t="s">
        <v>314</v>
      </c>
      <c r="D214" s="178" t="s">
        <v>195</v>
      </c>
      <c r="F214" s="177">
        <v>524</v>
      </c>
      <c r="M214" s="176"/>
    </row>
    <row r="215" spans="1:76" x14ac:dyDescent="0.25">
      <c r="A215" s="179"/>
      <c r="C215" s="178" t="s">
        <v>313</v>
      </c>
      <c r="D215" s="178" t="s">
        <v>312</v>
      </c>
      <c r="F215" s="177">
        <v>226.2</v>
      </c>
      <c r="M215" s="176"/>
    </row>
    <row r="216" spans="1:76" x14ac:dyDescent="0.25">
      <c r="A216" s="179"/>
      <c r="C216" s="178" t="s">
        <v>311</v>
      </c>
      <c r="D216" s="178" t="s">
        <v>172</v>
      </c>
      <c r="F216" s="177">
        <v>376.3</v>
      </c>
      <c r="M216" s="176"/>
    </row>
    <row r="217" spans="1:76" x14ac:dyDescent="0.25">
      <c r="A217" s="179"/>
      <c r="C217" s="178" t="s">
        <v>310</v>
      </c>
      <c r="D217" s="178" t="s">
        <v>309</v>
      </c>
      <c r="F217" s="177">
        <v>307.10000000000002</v>
      </c>
      <c r="M217" s="176"/>
    </row>
    <row r="218" spans="1:76" x14ac:dyDescent="0.25">
      <c r="A218" s="168" t="s">
        <v>308</v>
      </c>
      <c r="B218" s="167" t="s">
        <v>307</v>
      </c>
      <c r="C218" s="88" t="s">
        <v>306</v>
      </c>
      <c r="D218" s="87"/>
      <c r="E218" s="167" t="s">
        <v>217</v>
      </c>
      <c r="F218" s="161">
        <v>152.1</v>
      </c>
      <c r="G218" s="165">
        <v>0</v>
      </c>
      <c r="H218" s="161">
        <f>ROUND(F218*AO218,2)</f>
        <v>0</v>
      </c>
      <c r="I218" s="161">
        <f>ROUND(F218*AP218,2)</f>
        <v>0</v>
      </c>
      <c r="J218" s="161">
        <f>ROUND(F218*G218,2)</f>
        <v>0</v>
      </c>
      <c r="K218" s="161">
        <v>2.5500000000000002E-3</v>
      </c>
      <c r="L218" s="161">
        <f>F218*K218</f>
        <v>0.38785500000000001</v>
      </c>
      <c r="M218" s="164" t="s">
        <v>121</v>
      </c>
      <c r="Z218" s="161">
        <f>ROUND(IF(AQ218="5",BJ218,0),2)</f>
        <v>0</v>
      </c>
      <c r="AB218" s="161">
        <f>ROUND(IF(AQ218="1",BH218,0),2)</f>
        <v>0</v>
      </c>
      <c r="AC218" s="161">
        <f>ROUND(IF(AQ218="1",BI218,0),2)</f>
        <v>0</v>
      </c>
      <c r="AD218" s="161">
        <f>ROUND(IF(AQ218="7",BH218,0),2)</f>
        <v>0</v>
      </c>
      <c r="AE218" s="161">
        <f>ROUND(IF(AQ218="7",BI218,0),2)</f>
        <v>0</v>
      </c>
      <c r="AF218" s="161">
        <f>ROUND(IF(AQ218="2",BH218,0),2)</f>
        <v>0</v>
      </c>
      <c r="AG218" s="161">
        <f>ROUND(IF(AQ218="2",BI218,0),2)</f>
        <v>0</v>
      </c>
      <c r="AH218" s="161">
        <f>ROUND(IF(AQ218="0",BJ218,0),2)</f>
        <v>0</v>
      </c>
      <c r="AI218" s="163" t="s">
        <v>53</v>
      </c>
      <c r="AJ218" s="161">
        <f>IF(AN218=0,J218,0)</f>
        <v>0</v>
      </c>
      <c r="AK218" s="161">
        <f>IF(AN218=12,J218,0)</f>
        <v>0</v>
      </c>
      <c r="AL218" s="161">
        <f>IF(AN218=21,J218,0)</f>
        <v>0</v>
      </c>
      <c r="AN218" s="161">
        <v>21</v>
      </c>
      <c r="AO218" s="161">
        <f>G218*0.01251808</f>
        <v>0</v>
      </c>
      <c r="AP218" s="161">
        <f>G218*(1-0.01251808)</f>
        <v>0</v>
      </c>
      <c r="AQ218" s="162" t="s">
        <v>166</v>
      </c>
      <c r="AV218" s="161">
        <f>ROUND(AW218+AX218,2)</f>
        <v>0</v>
      </c>
      <c r="AW218" s="161">
        <f>ROUND(F218*AO218,2)</f>
        <v>0</v>
      </c>
      <c r="AX218" s="161">
        <f>ROUND(F218*AP218,2)</f>
        <v>0</v>
      </c>
      <c r="AY218" s="162" t="s">
        <v>224</v>
      </c>
      <c r="AZ218" s="162" t="s">
        <v>176</v>
      </c>
      <c r="BA218" s="163" t="s">
        <v>117</v>
      </c>
      <c r="BC218" s="161">
        <f>AW218+AX218</f>
        <v>0</v>
      </c>
      <c r="BD218" s="161">
        <f>G218/(100-BE218)*100</f>
        <v>0</v>
      </c>
      <c r="BE218" s="161">
        <v>0</v>
      </c>
      <c r="BF218" s="161">
        <f>L218</f>
        <v>0.38785500000000001</v>
      </c>
      <c r="BH218" s="161">
        <f>F218*AO218</f>
        <v>0</v>
      </c>
      <c r="BI218" s="161">
        <f>F218*AP218</f>
        <v>0</v>
      </c>
      <c r="BJ218" s="161">
        <f>F218*G218</f>
        <v>0</v>
      </c>
      <c r="BK218" s="162" t="s">
        <v>116</v>
      </c>
      <c r="BL218" s="161">
        <v>762</v>
      </c>
      <c r="BW218" s="161">
        <v>21</v>
      </c>
      <c r="BX218" s="160" t="s">
        <v>306</v>
      </c>
    </row>
    <row r="219" spans="1:76" x14ac:dyDescent="0.25">
      <c r="A219" s="179"/>
      <c r="C219" s="178" t="s">
        <v>305</v>
      </c>
      <c r="D219" s="178" t="s">
        <v>299</v>
      </c>
      <c r="F219" s="177">
        <v>152.1</v>
      </c>
      <c r="M219" s="176"/>
    </row>
    <row r="220" spans="1:76" x14ac:dyDescent="0.25">
      <c r="A220" s="168" t="s">
        <v>304</v>
      </c>
      <c r="B220" s="167" t="s">
        <v>303</v>
      </c>
      <c r="C220" s="180" t="s">
        <v>302</v>
      </c>
      <c r="D220" s="87"/>
      <c r="E220" s="167" t="s">
        <v>217</v>
      </c>
      <c r="F220" s="161">
        <v>167.31</v>
      </c>
      <c r="G220" s="165">
        <v>0</v>
      </c>
      <c r="H220" s="161">
        <f>ROUND(F220*AO220,2)</f>
        <v>0</v>
      </c>
      <c r="I220" s="161">
        <f>ROUND(F220*AP220,2)</f>
        <v>0</v>
      </c>
      <c r="J220" s="161">
        <f>ROUND(F220*G220,2)</f>
        <v>0</v>
      </c>
      <c r="K220" s="161">
        <v>3.3000000000000002E-2</v>
      </c>
      <c r="L220" s="161">
        <f>F220*K220</f>
        <v>5.5212300000000001</v>
      </c>
      <c r="M220" s="164" t="s">
        <v>179</v>
      </c>
      <c r="Z220" s="161">
        <f>ROUND(IF(AQ220="5",BJ220,0),2)</f>
        <v>0</v>
      </c>
      <c r="AB220" s="161">
        <f>ROUND(IF(AQ220="1",BH220,0),2)</f>
        <v>0</v>
      </c>
      <c r="AC220" s="161">
        <f>ROUND(IF(AQ220="1",BI220,0),2)</f>
        <v>0</v>
      </c>
      <c r="AD220" s="161">
        <f>ROUND(IF(AQ220="7",BH220,0),2)</f>
        <v>0</v>
      </c>
      <c r="AE220" s="161">
        <f>ROUND(IF(AQ220="7",BI220,0),2)</f>
        <v>0</v>
      </c>
      <c r="AF220" s="161">
        <f>ROUND(IF(AQ220="2",BH220,0),2)</f>
        <v>0</v>
      </c>
      <c r="AG220" s="161">
        <f>ROUND(IF(AQ220="2",BI220,0),2)</f>
        <v>0</v>
      </c>
      <c r="AH220" s="161">
        <f>ROUND(IF(AQ220="0",BJ220,0),2)</f>
        <v>0</v>
      </c>
      <c r="AI220" s="163" t="s">
        <v>53</v>
      </c>
      <c r="AJ220" s="161">
        <f>IF(AN220=0,J220,0)</f>
        <v>0</v>
      </c>
      <c r="AK220" s="161">
        <f>IF(AN220=12,J220,0)</f>
        <v>0</v>
      </c>
      <c r="AL220" s="161">
        <f>IF(AN220=21,J220,0)</f>
        <v>0</v>
      </c>
      <c r="AN220" s="161">
        <v>21</v>
      </c>
      <c r="AO220" s="161">
        <f>G220*1</f>
        <v>0</v>
      </c>
      <c r="AP220" s="161">
        <f>G220*(1-1)</f>
        <v>0</v>
      </c>
      <c r="AQ220" s="162" t="s">
        <v>178</v>
      </c>
      <c r="AV220" s="161">
        <f>ROUND(AW220+AX220,2)</f>
        <v>0</v>
      </c>
      <c r="AW220" s="161">
        <f>ROUND(F220*AO220,2)</f>
        <v>0</v>
      </c>
      <c r="AX220" s="161">
        <f>ROUND(F220*AP220,2)</f>
        <v>0</v>
      </c>
      <c r="AY220" s="162" t="s">
        <v>224</v>
      </c>
      <c r="AZ220" s="162" t="s">
        <v>176</v>
      </c>
      <c r="BA220" s="163" t="s">
        <v>117</v>
      </c>
      <c r="BC220" s="161">
        <f>AW220+AX220</f>
        <v>0</v>
      </c>
      <c r="BD220" s="161">
        <f>G220/(100-BE220)*100</f>
        <v>0</v>
      </c>
      <c r="BE220" s="161">
        <v>0</v>
      </c>
      <c r="BF220" s="161">
        <f>L220</f>
        <v>5.5212300000000001</v>
      </c>
      <c r="BH220" s="161">
        <f>F220*AO220</f>
        <v>0</v>
      </c>
      <c r="BI220" s="161">
        <f>F220*AP220</f>
        <v>0</v>
      </c>
      <c r="BJ220" s="161">
        <f>F220*G220</f>
        <v>0</v>
      </c>
      <c r="BK220" s="162" t="s">
        <v>116</v>
      </c>
      <c r="BL220" s="161">
        <v>762</v>
      </c>
      <c r="BW220" s="161">
        <v>21</v>
      </c>
      <c r="BX220" s="160" t="s">
        <v>301</v>
      </c>
    </row>
    <row r="221" spans="1:76" x14ac:dyDescent="0.25">
      <c r="A221" s="179"/>
      <c r="C221" s="178" t="s">
        <v>300</v>
      </c>
      <c r="D221" s="178" t="s">
        <v>299</v>
      </c>
      <c r="F221" s="177">
        <v>167.31</v>
      </c>
      <c r="M221" s="176"/>
    </row>
    <row r="222" spans="1:76" x14ac:dyDescent="0.25">
      <c r="A222" s="168" t="s">
        <v>298</v>
      </c>
      <c r="B222" s="167" t="s">
        <v>297</v>
      </c>
      <c r="C222" s="88" t="s">
        <v>296</v>
      </c>
      <c r="D222" s="87"/>
      <c r="E222" s="167" t="s">
        <v>217</v>
      </c>
      <c r="F222" s="161">
        <v>291.12</v>
      </c>
      <c r="G222" s="165">
        <v>0</v>
      </c>
      <c r="H222" s="161">
        <f>ROUND(F222*AO222,2)</f>
        <v>0</v>
      </c>
      <c r="I222" s="161">
        <f>ROUND(F222*AP222,2)</f>
        <v>0</v>
      </c>
      <c r="J222" s="161">
        <f>ROUND(F222*G222,2)</f>
        <v>0</v>
      </c>
      <c r="K222" s="161">
        <v>2.5500000000000002E-3</v>
      </c>
      <c r="L222" s="161">
        <f>F222*K222</f>
        <v>0.74235600000000002</v>
      </c>
      <c r="M222" s="164" t="s">
        <v>121</v>
      </c>
      <c r="Z222" s="161">
        <f>ROUND(IF(AQ222="5",BJ222,0),2)</f>
        <v>0</v>
      </c>
      <c r="AB222" s="161">
        <f>ROUND(IF(AQ222="1",BH222,0),2)</f>
        <v>0</v>
      </c>
      <c r="AC222" s="161">
        <f>ROUND(IF(AQ222="1",BI222,0),2)</f>
        <v>0</v>
      </c>
      <c r="AD222" s="161">
        <f>ROUND(IF(AQ222="7",BH222,0),2)</f>
        <v>0</v>
      </c>
      <c r="AE222" s="161">
        <f>ROUND(IF(AQ222="7",BI222,0),2)</f>
        <v>0</v>
      </c>
      <c r="AF222" s="161">
        <f>ROUND(IF(AQ222="2",BH222,0),2)</f>
        <v>0</v>
      </c>
      <c r="AG222" s="161">
        <f>ROUND(IF(AQ222="2",BI222,0),2)</f>
        <v>0</v>
      </c>
      <c r="AH222" s="161">
        <f>ROUND(IF(AQ222="0",BJ222,0),2)</f>
        <v>0</v>
      </c>
      <c r="AI222" s="163" t="s">
        <v>53</v>
      </c>
      <c r="AJ222" s="161">
        <f>IF(AN222=0,J222,0)</f>
        <v>0</v>
      </c>
      <c r="AK222" s="161">
        <f>IF(AN222=12,J222,0)</f>
        <v>0</v>
      </c>
      <c r="AL222" s="161">
        <f>IF(AN222=21,J222,0)</f>
        <v>0</v>
      </c>
      <c r="AN222" s="161">
        <v>21</v>
      </c>
      <c r="AO222" s="161">
        <f>G222*0.015168115</f>
        <v>0</v>
      </c>
      <c r="AP222" s="161">
        <f>G222*(1-0.015168115)</f>
        <v>0</v>
      </c>
      <c r="AQ222" s="162" t="s">
        <v>166</v>
      </c>
      <c r="AV222" s="161">
        <f>ROUND(AW222+AX222,2)</f>
        <v>0</v>
      </c>
      <c r="AW222" s="161">
        <f>ROUND(F222*AO222,2)</f>
        <v>0</v>
      </c>
      <c r="AX222" s="161">
        <f>ROUND(F222*AP222,2)</f>
        <v>0</v>
      </c>
      <c r="AY222" s="162" t="s">
        <v>224</v>
      </c>
      <c r="AZ222" s="162" t="s">
        <v>176</v>
      </c>
      <c r="BA222" s="163" t="s">
        <v>117</v>
      </c>
      <c r="BC222" s="161">
        <f>AW222+AX222</f>
        <v>0</v>
      </c>
      <c r="BD222" s="161">
        <f>G222/(100-BE222)*100</f>
        <v>0</v>
      </c>
      <c r="BE222" s="161">
        <v>0</v>
      </c>
      <c r="BF222" s="161">
        <f>L222</f>
        <v>0.74235600000000002</v>
      </c>
      <c r="BH222" s="161">
        <f>F222*AO222</f>
        <v>0</v>
      </c>
      <c r="BI222" s="161">
        <f>F222*AP222</f>
        <v>0</v>
      </c>
      <c r="BJ222" s="161">
        <f>F222*G222</f>
        <v>0</v>
      </c>
      <c r="BK222" s="162" t="s">
        <v>116</v>
      </c>
      <c r="BL222" s="161">
        <v>762</v>
      </c>
      <c r="BW222" s="161">
        <v>21</v>
      </c>
      <c r="BX222" s="160" t="s">
        <v>296</v>
      </c>
    </row>
    <row r="223" spans="1:76" x14ac:dyDescent="0.25">
      <c r="A223" s="179"/>
      <c r="C223" s="178" t="s">
        <v>295</v>
      </c>
      <c r="D223" s="178" t="s">
        <v>288</v>
      </c>
      <c r="F223" s="177">
        <f>155.8+5*7+4.7*10+3.9*7</f>
        <v>265.10000000000002</v>
      </c>
      <c r="M223" s="176"/>
    </row>
    <row r="224" spans="1:76" x14ac:dyDescent="0.25">
      <c r="A224" s="179"/>
      <c r="C224" s="178" t="s">
        <v>294</v>
      </c>
      <c r="D224" s="178" t="s">
        <v>286</v>
      </c>
      <c r="F224" s="177">
        <v>26</v>
      </c>
      <c r="M224" s="176"/>
    </row>
    <row r="225" spans="1:76" x14ac:dyDescent="0.25">
      <c r="A225" s="168" t="s">
        <v>293</v>
      </c>
      <c r="B225" s="167" t="s">
        <v>292</v>
      </c>
      <c r="C225" s="180" t="s">
        <v>291</v>
      </c>
      <c r="D225" s="87"/>
      <c r="E225" s="167" t="s">
        <v>217</v>
      </c>
      <c r="F225" s="161">
        <v>320.20999999999998</v>
      </c>
      <c r="G225" s="165">
        <v>0</v>
      </c>
      <c r="H225" s="161">
        <f>ROUND(F225*AO225,2)</f>
        <v>0</v>
      </c>
      <c r="I225" s="161">
        <f>ROUND(F225*AP225,2)</f>
        <v>0</v>
      </c>
      <c r="J225" s="161">
        <f>ROUND(F225*G225,2)</f>
        <v>0</v>
      </c>
      <c r="K225" s="161">
        <v>2.5000000000000001E-2</v>
      </c>
      <c r="L225" s="161">
        <f>F225*K225</f>
        <v>8.0052500000000002</v>
      </c>
      <c r="M225" s="164" t="s">
        <v>179</v>
      </c>
      <c r="Z225" s="161">
        <f>ROUND(IF(AQ225="5",BJ225,0),2)</f>
        <v>0</v>
      </c>
      <c r="AB225" s="161">
        <f>ROUND(IF(AQ225="1",BH225,0),2)</f>
        <v>0</v>
      </c>
      <c r="AC225" s="161">
        <f>ROUND(IF(AQ225="1",BI225,0),2)</f>
        <v>0</v>
      </c>
      <c r="AD225" s="161">
        <f>ROUND(IF(AQ225="7",BH225,0),2)</f>
        <v>0</v>
      </c>
      <c r="AE225" s="161">
        <f>ROUND(IF(AQ225="7",BI225,0),2)</f>
        <v>0</v>
      </c>
      <c r="AF225" s="161">
        <f>ROUND(IF(AQ225="2",BH225,0),2)</f>
        <v>0</v>
      </c>
      <c r="AG225" s="161">
        <f>ROUND(IF(AQ225="2",BI225,0),2)</f>
        <v>0</v>
      </c>
      <c r="AH225" s="161">
        <f>ROUND(IF(AQ225="0",BJ225,0),2)</f>
        <v>0</v>
      </c>
      <c r="AI225" s="163" t="s">
        <v>53</v>
      </c>
      <c r="AJ225" s="161">
        <f>IF(AN225=0,J225,0)</f>
        <v>0</v>
      </c>
      <c r="AK225" s="161">
        <f>IF(AN225=12,J225,0)</f>
        <v>0</v>
      </c>
      <c r="AL225" s="161">
        <f>IF(AN225=21,J225,0)</f>
        <v>0</v>
      </c>
      <c r="AN225" s="161">
        <v>21</v>
      </c>
      <c r="AO225" s="161">
        <f>G225*1</f>
        <v>0</v>
      </c>
      <c r="AP225" s="161">
        <f>G225*(1-1)</f>
        <v>0</v>
      </c>
      <c r="AQ225" s="162" t="s">
        <v>178</v>
      </c>
      <c r="AV225" s="161">
        <f>ROUND(AW225+AX225,2)</f>
        <v>0</v>
      </c>
      <c r="AW225" s="161">
        <f>ROUND(F225*AO225,2)</f>
        <v>0</v>
      </c>
      <c r="AX225" s="161">
        <f>ROUND(F225*AP225,2)</f>
        <v>0</v>
      </c>
      <c r="AY225" s="162" t="s">
        <v>224</v>
      </c>
      <c r="AZ225" s="162" t="s">
        <v>176</v>
      </c>
      <c r="BA225" s="163" t="s">
        <v>117</v>
      </c>
      <c r="BC225" s="161">
        <f>AW225+AX225</f>
        <v>0</v>
      </c>
      <c r="BD225" s="161">
        <f>G225/(100-BE225)*100</f>
        <v>0</v>
      </c>
      <c r="BE225" s="161">
        <v>0</v>
      </c>
      <c r="BF225" s="161">
        <f>L225</f>
        <v>8.0052500000000002</v>
      </c>
      <c r="BH225" s="161">
        <f>F225*AO225</f>
        <v>0</v>
      </c>
      <c r="BI225" s="161">
        <f>F225*AP225</f>
        <v>0</v>
      </c>
      <c r="BJ225" s="161">
        <f>F225*G225</f>
        <v>0</v>
      </c>
      <c r="BK225" s="162" t="s">
        <v>116</v>
      </c>
      <c r="BL225" s="161">
        <v>762</v>
      </c>
      <c r="BW225" s="161">
        <v>21</v>
      </c>
      <c r="BX225" s="160" t="s">
        <v>290</v>
      </c>
    </row>
    <row r="226" spans="1:76" x14ac:dyDescent="0.25">
      <c r="A226" s="179"/>
      <c r="C226" s="178" t="s">
        <v>289</v>
      </c>
      <c r="D226" s="178" t="s">
        <v>288</v>
      </c>
      <c r="F226" s="177">
        <f>(155.8+5*7+4.7*10+3.9*7)*1.1</f>
        <v>291.61000000000007</v>
      </c>
      <c r="M226" s="176"/>
    </row>
    <row r="227" spans="1:76" x14ac:dyDescent="0.25">
      <c r="A227" s="179"/>
      <c r="C227" s="178" t="s">
        <v>287</v>
      </c>
      <c r="D227" s="178" t="s">
        <v>286</v>
      </c>
      <c r="F227" s="177">
        <v>28.6</v>
      </c>
      <c r="M227" s="176"/>
    </row>
    <row r="228" spans="1:76" x14ac:dyDescent="0.25">
      <c r="A228" s="168" t="s">
        <v>285</v>
      </c>
      <c r="B228" s="167" t="s">
        <v>284</v>
      </c>
      <c r="C228" s="88" t="s">
        <v>283</v>
      </c>
      <c r="D228" s="87"/>
      <c r="E228" s="167" t="s">
        <v>217</v>
      </c>
      <c r="F228" s="161">
        <v>142.5</v>
      </c>
      <c r="G228" s="165">
        <v>0</v>
      </c>
      <c r="H228" s="161">
        <f>ROUND(F228*AO228,2)</f>
        <v>0</v>
      </c>
      <c r="I228" s="161">
        <f>ROUND(F228*AP228,2)</f>
        <v>0</v>
      </c>
      <c r="J228" s="161">
        <f>ROUND(F228*G228,2)</f>
        <v>0</v>
      </c>
      <c r="K228" s="161">
        <v>2.0000000000000001E-4</v>
      </c>
      <c r="L228" s="161">
        <f>F228*K228</f>
        <v>2.8500000000000001E-2</v>
      </c>
      <c r="M228" s="164" t="s">
        <v>121</v>
      </c>
      <c r="Z228" s="161">
        <f>ROUND(IF(AQ228="5",BJ228,0),2)</f>
        <v>0</v>
      </c>
      <c r="AB228" s="161">
        <f>ROUND(IF(AQ228="1",BH228,0),2)</f>
        <v>0</v>
      </c>
      <c r="AC228" s="161">
        <f>ROUND(IF(AQ228="1",BI228,0),2)</f>
        <v>0</v>
      </c>
      <c r="AD228" s="161">
        <f>ROUND(IF(AQ228="7",BH228,0),2)</f>
        <v>0</v>
      </c>
      <c r="AE228" s="161">
        <f>ROUND(IF(AQ228="7",BI228,0),2)</f>
        <v>0</v>
      </c>
      <c r="AF228" s="161">
        <f>ROUND(IF(AQ228="2",BH228,0),2)</f>
        <v>0</v>
      </c>
      <c r="AG228" s="161">
        <f>ROUND(IF(AQ228="2",BI228,0),2)</f>
        <v>0</v>
      </c>
      <c r="AH228" s="161">
        <f>ROUND(IF(AQ228="0",BJ228,0),2)</f>
        <v>0</v>
      </c>
      <c r="AI228" s="163" t="s">
        <v>53</v>
      </c>
      <c r="AJ228" s="161">
        <f>IF(AN228=0,J228,0)</f>
        <v>0</v>
      </c>
      <c r="AK228" s="161">
        <f>IF(AN228=12,J228,0)</f>
        <v>0</v>
      </c>
      <c r="AL228" s="161">
        <f>IF(AN228=21,J228,0)</f>
        <v>0</v>
      </c>
      <c r="AN228" s="161">
        <v>21</v>
      </c>
      <c r="AO228" s="161">
        <f>G228*0.055889158</f>
        <v>0</v>
      </c>
      <c r="AP228" s="161">
        <f>G228*(1-0.055889158)</f>
        <v>0</v>
      </c>
      <c r="AQ228" s="162" t="s">
        <v>166</v>
      </c>
      <c r="AV228" s="161">
        <f>ROUND(AW228+AX228,2)</f>
        <v>0</v>
      </c>
      <c r="AW228" s="161">
        <f>ROUND(F228*AO228,2)</f>
        <v>0</v>
      </c>
      <c r="AX228" s="161">
        <f>ROUND(F228*AP228,2)</f>
        <v>0</v>
      </c>
      <c r="AY228" s="162" t="s">
        <v>224</v>
      </c>
      <c r="AZ228" s="162" t="s">
        <v>176</v>
      </c>
      <c r="BA228" s="163" t="s">
        <v>117</v>
      </c>
      <c r="BC228" s="161">
        <f>AW228+AX228</f>
        <v>0</v>
      </c>
      <c r="BD228" s="161">
        <f>G228/(100-BE228)*100</f>
        <v>0</v>
      </c>
      <c r="BE228" s="161">
        <v>0</v>
      </c>
      <c r="BF228" s="161">
        <f>L228</f>
        <v>2.8500000000000001E-2</v>
      </c>
      <c r="BH228" s="161">
        <f>F228*AO228</f>
        <v>0</v>
      </c>
      <c r="BI228" s="161">
        <f>F228*AP228</f>
        <v>0</v>
      </c>
      <c r="BJ228" s="161">
        <f>F228*G228</f>
        <v>0</v>
      </c>
      <c r="BK228" s="162" t="s">
        <v>116</v>
      </c>
      <c r="BL228" s="161">
        <v>762</v>
      </c>
      <c r="BW228" s="161">
        <v>21</v>
      </c>
      <c r="BX228" s="160" t="s">
        <v>283</v>
      </c>
    </row>
    <row r="229" spans="1:76" x14ac:dyDescent="0.25">
      <c r="A229" s="179"/>
      <c r="C229" s="178" t="s">
        <v>282</v>
      </c>
      <c r="D229" s="178" t="s">
        <v>270</v>
      </c>
      <c r="F229" s="177">
        <v>33.9</v>
      </c>
      <c r="M229" s="176"/>
    </row>
    <row r="230" spans="1:76" x14ac:dyDescent="0.25">
      <c r="A230" s="179"/>
      <c r="C230" s="178" t="s">
        <v>281</v>
      </c>
      <c r="D230" s="178" t="s">
        <v>268</v>
      </c>
      <c r="F230" s="177">
        <v>108.6</v>
      </c>
      <c r="M230" s="176"/>
    </row>
    <row r="231" spans="1:76" x14ac:dyDescent="0.25">
      <c r="A231" s="168" t="s">
        <v>280</v>
      </c>
      <c r="B231" s="167" t="s">
        <v>279</v>
      </c>
      <c r="C231" s="88" t="s">
        <v>278</v>
      </c>
      <c r="D231" s="87"/>
      <c r="E231" s="167" t="s">
        <v>217</v>
      </c>
      <c r="F231" s="161">
        <v>64.900000000000006</v>
      </c>
      <c r="G231" s="165">
        <v>0</v>
      </c>
      <c r="H231" s="161">
        <f>ROUND(F231*AO231,2)</f>
        <v>0</v>
      </c>
      <c r="I231" s="161">
        <f>ROUND(F231*AP231,2)</f>
        <v>0</v>
      </c>
      <c r="J231" s="161">
        <f>ROUND(F231*G231,2)</f>
        <v>0</v>
      </c>
      <c r="K231" s="161">
        <v>2.5500000000000002E-3</v>
      </c>
      <c r="L231" s="161">
        <f>F231*K231</f>
        <v>0.16549500000000003</v>
      </c>
      <c r="M231" s="164" t="s">
        <v>121</v>
      </c>
      <c r="Z231" s="161">
        <f>ROUND(IF(AQ231="5",BJ231,0),2)</f>
        <v>0</v>
      </c>
      <c r="AB231" s="161">
        <f>ROUND(IF(AQ231="1",BH231,0),2)</f>
        <v>0</v>
      </c>
      <c r="AC231" s="161">
        <f>ROUND(IF(AQ231="1",BI231,0),2)</f>
        <v>0</v>
      </c>
      <c r="AD231" s="161">
        <f>ROUND(IF(AQ231="7",BH231,0),2)</f>
        <v>0</v>
      </c>
      <c r="AE231" s="161">
        <f>ROUND(IF(AQ231="7",BI231,0),2)</f>
        <v>0</v>
      </c>
      <c r="AF231" s="161">
        <f>ROUND(IF(AQ231="2",BH231,0),2)</f>
        <v>0</v>
      </c>
      <c r="AG231" s="161">
        <f>ROUND(IF(AQ231="2",BI231,0),2)</f>
        <v>0</v>
      </c>
      <c r="AH231" s="161">
        <f>ROUND(IF(AQ231="0",BJ231,0),2)</f>
        <v>0</v>
      </c>
      <c r="AI231" s="163" t="s">
        <v>53</v>
      </c>
      <c r="AJ231" s="161">
        <f>IF(AN231=0,J231,0)</f>
        <v>0</v>
      </c>
      <c r="AK231" s="161">
        <f>IF(AN231=12,J231,0)</f>
        <v>0</v>
      </c>
      <c r="AL231" s="161">
        <f>IF(AN231=21,J231,0)</f>
        <v>0</v>
      </c>
      <c r="AN231" s="161">
        <v>21</v>
      </c>
      <c r="AO231" s="161">
        <f>G231*0.021096415</f>
        <v>0</v>
      </c>
      <c r="AP231" s="161">
        <f>G231*(1-0.021096415)</f>
        <v>0</v>
      </c>
      <c r="AQ231" s="162" t="s">
        <v>166</v>
      </c>
      <c r="AV231" s="161">
        <f>ROUND(AW231+AX231,2)</f>
        <v>0</v>
      </c>
      <c r="AW231" s="161">
        <f>ROUND(F231*AO231,2)</f>
        <v>0</v>
      </c>
      <c r="AX231" s="161">
        <f>ROUND(F231*AP231,2)</f>
        <v>0</v>
      </c>
      <c r="AY231" s="162" t="s">
        <v>224</v>
      </c>
      <c r="AZ231" s="162" t="s">
        <v>176</v>
      </c>
      <c r="BA231" s="163" t="s">
        <v>117</v>
      </c>
      <c r="BC231" s="161">
        <f>AW231+AX231</f>
        <v>0</v>
      </c>
      <c r="BD231" s="161">
        <f>G231/(100-BE231)*100</f>
        <v>0</v>
      </c>
      <c r="BE231" s="161">
        <v>0</v>
      </c>
      <c r="BF231" s="161">
        <f>L231</f>
        <v>0.16549500000000003</v>
      </c>
      <c r="BH231" s="161">
        <f>F231*AO231</f>
        <v>0</v>
      </c>
      <c r="BI231" s="161">
        <f>F231*AP231</f>
        <v>0</v>
      </c>
      <c r="BJ231" s="161">
        <f>F231*G231</f>
        <v>0</v>
      </c>
      <c r="BK231" s="162" t="s">
        <v>116</v>
      </c>
      <c r="BL231" s="161">
        <v>762</v>
      </c>
      <c r="BW231" s="161">
        <v>21</v>
      </c>
      <c r="BX231" s="160" t="s">
        <v>278</v>
      </c>
    </row>
    <row r="232" spans="1:76" x14ac:dyDescent="0.25">
      <c r="A232" s="179"/>
      <c r="C232" s="178" t="s">
        <v>277</v>
      </c>
      <c r="D232" s="178" t="s">
        <v>229</v>
      </c>
      <c r="F232" s="177">
        <v>21.9</v>
      </c>
      <c r="M232" s="176"/>
    </row>
    <row r="233" spans="1:76" x14ac:dyDescent="0.25">
      <c r="A233" s="179"/>
      <c r="C233" s="178" t="s">
        <v>276</v>
      </c>
      <c r="D233" s="178" t="s">
        <v>265</v>
      </c>
      <c r="F233" s="177">
        <v>43</v>
      </c>
      <c r="M233" s="176"/>
    </row>
    <row r="234" spans="1:76" x14ac:dyDescent="0.25">
      <c r="A234" s="168" t="s">
        <v>275</v>
      </c>
      <c r="B234" s="167" t="s">
        <v>274</v>
      </c>
      <c r="C234" s="180" t="s">
        <v>273</v>
      </c>
      <c r="D234" s="87"/>
      <c r="E234" s="167" t="s">
        <v>217</v>
      </c>
      <c r="F234" s="161">
        <v>228.14</v>
      </c>
      <c r="G234" s="165">
        <v>0</v>
      </c>
      <c r="H234" s="161">
        <f>ROUND(F234*AO234,2)</f>
        <v>0</v>
      </c>
      <c r="I234" s="161">
        <f>ROUND(F234*AP234,2)</f>
        <v>0</v>
      </c>
      <c r="J234" s="161">
        <f>ROUND(F234*G234,2)</f>
        <v>0</v>
      </c>
      <c r="K234" s="161">
        <v>5.0000000000000001E-3</v>
      </c>
      <c r="L234" s="161">
        <f>F234*K234</f>
        <v>1.1407</v>
      </c>
      <c r="M234" s="164" t="s">
        <v>179</v>
      </c>
      <c r="Z234" s="161">
        <f>ROUND(IF(AQ234="5",BJ234,0),2)</f>
        <v>0</v>
      </c>
      <c r="AB234" s="161">
        <f>ROUND(IF(AQ234="1",BH234,0),2)</f>
        <v>0</v>
      </c>
      <c r="AC234" s="161">
        <f>ROUND(IF(AQ234="1",BI234,0),2)</f>
        <v>0</v>
      </c>
      <c r="AD234" s="161">
        <f>ROUND(IF(AQ234="7",BH234,0),2)</f>
        <v>0</v>
      </c>
      <c r="AE234" s="161">
        <f>ROUND(IF(AQ234="7",BI234,0),2)</f>
        <v>0</v>
      </c>
      <c r="AF234" s="161">
        <f>ROUND(IF(AQ234="2",BH234,0),2)</f>
        <v>0</v>
      </c>
      <c r="AG234" s="161">
        <f>ROUND(IF(AQ234="2",BI234,0),2)</f>
        <v>0</v>
      </c>
      <c r="AH234" s="161">
        <f>ROUND(IF(AQ234="0",BJ234,0),2)</f>
        <v>0</v>
      </c>
      <c r="AI234" s="163" t="s">
        <v>53</v>
      </c>
      <c r="AJ234" s="161">
        <f>IF(AN234=0,J234,0)</f>
        <v>0</v>
      </c>
      <c r="AK234" s="161">
        <f>IF(AN234=12,J234,0)</f>
        <v>0</v>
      </c>
      <c r="AL234" s="161">
        <f>IF(AN234=21,J234,0)</f>
        <v>0</v>
      </c>
      <c r="AN234" s="161">
        <v>21</v>
      </c>
      <c r="AO234" s="161">
        <f>G234*1</f>
        <v>0</v>
      </c>
      <c r="AP234" s="161">
        <f>G234*(1-1)</f>
        <v>0</v>
      </c>
      <c r="AQ234" s="162" t="s">
        <v>178</v>
      </c>
      <c r="AV234" s="161">
        <f>ROUND(AW234+AX234,2)</f>
        <v>0</v>
      </c>
      <c r="AW234" s="161">
        <f>ROUND(F234*AO234,2)</f>
        <v>0</v>
      </c>
      <c r="AX234" s="161">
        <f>ROUND(F234*AP234,2)</f>
        <v>0</v>
      </c>
      <c r="AY234" s="162" t="s">
        <v>224</v>
      </c>
      <c r="AZ234" s="162" t="s">
        <v>176</v>
      </c>
      <c r="BA234" s="163" t="s">
        <v>117</v>
      </c>
      <c r="BC234" s="161">
        <f>AW234+AX234</f>
        <v>0</v>
      </c>
      <c r="BD234" s="161">
        <f>G234/(100-BE234)*100</f>
        <v>0</v>
      </c>
      <c r="BE234" s="161">
        <v>0</v>
      </c>
      <c r="BF234" s="161">
        <f>L234</f>
        <v>1.1407</v>
      </c>
      <c r="BH234" s="161">
        <f>F234*AO234</f>
        <v>0</v>
      </c>
      <c r="BI234" s="161">
        <f>F234*AP234</f>
        <v>0</v>
      </c>
      <c r="BJ234" s="161">
        <f>F234*G234</f>
        <v>0</v>
      </c>
      <c r="BK234" s="162" t="s">
        <v>116</v>
      </c>
      <c r="BL234" s="161">
        <v>762</v>
      </c>
      <c r="BW234" s="161">
        <v>21</v>
      </c>
      <c r="BX234" s="160" t="s">
        <v>272</v>
      </c>
    </row>
    <row r="235" spans="1:76" x14ac:dyDescent="0.25">
      <c r="A235" s="179"/>
      <c r="C235" s="178" t="s">
        <v>271</v>
      </c>
      <c r="D235" s="178" t="s">
        <v>270</v>
      </c>
      <c r="F235" s="177">
        <v>37.29</v>
      </c>
      <c r="M235" s="176"/>
    </row>
    <row r="236" spans="1:76" x14ac:dyDescent="0.25">
      <c r="A236" s="179"/>
      <c r="C236" s="178" t="s">
        <v>269</v>
      </c>
      <c r="D236" s="178" t="s">
        <v>268</v>
      </c>
      <c r="F236" s="177">
        <v>119.46</v>
      </c>
      <c r="M236" s="176"/>
    </row>
    <row r="237" spans="1:76" x14ac:dyDescent="0.25">
      <c r="A237" s="179"/>
      <c r="C237" s="178" t="s">
        <v>267</v>
      </c>
      <c r="D237" s="178" t="s">
        <v>229</v>
      </c>
      <c r="F237" s="177">
        <v>24.09</v>
      </c>
      <c r="M237" s="176"/>
    </row>
    <row r="238" spans="1:76" x14ac:dyDescent="0.25">
      <c r="A238" s="179"/>
      <c r="C238" s="178" t="s">
        <v>266</v>
      </c>
      <c r="D238" s="178" t="s">
        <v>265</v>
      </c>
      <c r="F238" s="177">
        <v>47.3</v>
      </c>
      <c r="M238" s="176"/>
    </row>
    <row r="239" spans="1:76" x14ac:dyDescent="0.25">
      <c r="A239" s="168" t="s">
        <v>264</v>
      </c>
      <c r="B239" s="167" t="s">
        <v>263</v>
      </c>
      <c r="C239" s="88" t="s">
        <v>262</v>
      </c>
      <c r="D239" s="87"/>
      <c r="E239" s="167" t="s">
        <v>217</v>
      </c>
      <c r="F239" s="161">
        <v>250</v>
      </c>
      <c r="G239" s="165">
        <v>0</v>
      </c>
      <c r="H239" s="161">
        <f>ROUND(F239*AO239,2)</f>
        <v>0</v>
      </c>
      <c r="I239" s="161">
        <f>ROUND(F239*AP239,2)</f>
        <v>0</v>
      </c>
      <c r="J239" s="161">
        <f>ROUND(F239*G239,2)</f>
        <v>0</v>
      </c>
      <c r="K239" s="161">
        <v>0</v>
      </c>
      <c r="L239" s="161">
        <f>F239*K239</f>
        <v>0</v>
      </c>
      <c r="M239" s="164" t="s">
        <v>121</v>
      </c>
      <c r="Z239" s="161">
        <f>ROUND(IF(AQ239="5",BJ239,0),2)</f>
        <v>0</v>
      </c>
      <c r="AB239" s="161">
        <f>ROUND(IF(AQ239="1",BH239,0),2)</f>
        <v>0</v>
      </c>
      <c r="AC239" s="161">
        <f>ROUND(IF(AQ239="1",BI239,0),2)</f>
        <v>0</v>
      </c>
      <c r="AD239" s="161">
        <f>ROUND(IF(AQ239="7",BH239,0),2)</f>
        <v>0</v>
      </c>
      <c r="AE239" s="161">
        <f>ROUND(IF(AQ239="7",BI239,0),2)</f>
        <v>0</v>
      </c>
      <c r="AF239" s="161">
        <f>ROUND(IF(AQ239="2",BH239,0),2)</f>
        <v>0</v>
      </c>
      <c r="AG239" s="161">
        <f>ROUND(IF(AQ239="2",BI239,0),2)</f>
        <v>0</v>
      </c>
      <c r="AH239" s="161">
        <f>ROUND(IF(AQ239="0",BJ239,0),2)</f>
        <v>0</v>
      </c>
      <c r="AI239" s="163" t="s">
        <v>53</v>
      </c>
      <c r="AJ239" s="161">
        <f>IF(AN239=0,J239,0)</f>
        <v>0</v>
      </c>
      <c r="AK239" s="161">
        <f>IF(AN239=12,J239,0)</f>
        <v>0</v>
      </c>
      <c r="AL239" s="161">
        <f>IF(AN239=21,J239,0)</f>
        <v>0</v>
      </c>
      <c r="AN239" s="161">
        <v>21</v>
      </c>
      <c r="AO239" s="161">
        <f>G239*0</f>
        <v>0</v>
      </c>
      <c r="AP239" s="161">
        <f>G239*(1-0)</f>
        <v>0</v>
      </c>
      <c r="AQ239" s="162" t="s">
        <v>166</v>
      </c>
      <c r="AV239" s="161">
        <f>ROUND(AW239+AX239,2)</f>
        <v>0</v>
      </c>
      <c r="AW239" s="161">
        <f>ROUND(F239*AO239,2)</f>
        <v>0</v>
      </c>
      <c r="AX239" s="161">
        <f>ROUND(F239*AP239,2)</f>
        <v>0</v>
      </c>
      <c r="AY239" s="162" t="s">
        <v>224</v>
      </c>
      <c r="AZ239" s="162" t="s">
        <v>176</v>
      </c>
      <c r="BA239" s="163" t="s">
        <v>117</v>
      </c>
      <c r="BC239" s="161">
        <f>AW239+AX239</f>
        <v>0</v>
      </c>
      <c r="BD239" s="161">
        <f>G239/(100-BE239)*100</f>
        <v>0</v>
      </c>
      <c r="BE239" s="161">
        <v>0</v>
      </c>
      <c r="BF239" s="161">
        <f>L239</f>
        <v>0</v>
      </c>
      <c r="BH239" s="161">
        <f>F239*AO239</f>
        <v>0</v>
      </c>
      <c r="BI239" s="161">
        <f>F239*AP239</f>
        <v>0</v>
      </c>
      <c r="BJ239" s="161">
        <f>F239*G239</f>
        <v>0</v>
      </c>
      <c r="BK239" s="162" t="s">
        <v>116</v>
      </c>
      <c r="BL239" s="161">
        <v>762</v>
      </c>
      <c r="BW239" s="161">
        <v>21</v>
      </c>
      <c r="BX239" s="160" t="s">
        <v>262</v>
      </c>
    </row>
    <row r="240" spans="1:76" x14ac:dyDescent="0.25">
      <c r="A240" s="179"/>
      <c r="C240" s="178" t="s">
        <v>261</v>
      </c>
      <c r="D240" s="178" t="s">
        <v>256</v>
      </c>
      <c r="F240" s="177">
        <v>250</v>
      </c>
      <c r="M240" s="176"/>
    </row>
    <row r="241" spans="1:76" x14ac:dyDescent="0.25">
      <c r="A241" s="168" t="s">
        <v>260</v>
      </c>
      <c r="B241" s="167" t="s">
        <v>259</v>
      </c>
      <c r="C241" s="88" t="s">
        <v>258</v>
      </c>
      <c r="D241" s="87"/>
      <c r="E241" s="167" t="s">
        <v>238</v>
      </c>
      <c r="F241" s="161">
        <v>0.99</v>
      </c>
      <c r="G241" s="165">
        <v>0</v>
      </c>
      <c r="H241" s="161">
        <f>ROUND(F241*AO241,2)</f>
        <v>0</v>
      </c>
      <c r="I241" s="161">
        <f>ROUND(F241*AP241,2)</f>
        <v>0</v>
      </c>
      <c r="J241" s="161">
        <f>ROUND(F241*G241,2)</f>
        <v>0</v>
      </c>
      <c r="K241" s="161">
        <v>0.66</v>
      </c>
      <c r="L241" s="161">
        <f>F241*K241</f>
        <v>0.65339999999999998</v>
      </c>
      <c r="M241" s="164" t="s">
        <v>121</v>
      </c>
      <c r="Z241" s="161">
        <f>ROUND(IF(AQ241="5",BJ241,0),2)</f>
        <v>0</v>
      </c>
      <c r="AB241" s="161">
        <f>ROUND(IF(AQ241="1",BH241,0),2)</f>
        <v>0</v>
      </c>
      <c r="AC241" s="161">
        <f>ROUND(IF(AQ241="1",BI241,0),2)</f>
        <v>0</v>
      </c>
      <c r="AD241" s="161">
        <f>ROUND(IF(AQ241="7",BH241,0),2)</f>
        <v>0</v>
      </c>
      <c r="AE241" s="161">
        <f>ROUND(IF(AQ241="7",BI241,0),2)</f>
        <v>0</v>
      </c>
      <c r="AF241" s="161">
        <f>ROUND(IF(AQ241="2",BH241,0),2)</f>
        <v>0</v>
      </c>
      <c r="AG241" s="161">
        <f>ROUND(IF(AQ241="2",BI241,0),2)</f>
        <v>0</v>
      </c>
      <c r="AH241" s="161">
        <f>ROUND(IF(AQ241="0",BJ241,0),2)</f>
        <v>0</v>
      </c>
      <c r="AI241" s="163" t="s">
        <v>53</v>
      </c>
      <c r="AJ241" s="161">
        <f>IF(AN241=0,J241,0)</f>
        <v>0</v>
      </c>
      <c r="AK241" s="161">
        <f>IF(AN241=12,J241,0)</f>
        <v>0</v>
      </c>
      <c r="AL241" s="161">
        <f>IF(AN241=21,J241,0)</f>
        <v>0</v>
      </c>
      <c r="AN241" s="161">
        <v>21</v>
      </c>
      <c r="AO241" s="161">
        <f>G241*1</f>
        <v>0</v>
      </c>
      <c r="AP241" s="161">
        <f>G241*(1-1)</f>
        <v>0</v>
      </c>
      <c r="AQ241" s="162" t="s">
        <v>166</v>
      </c>
      <c r="AV241" s="161">
        <f>ROUND(AW241+AX241,2)</f>
        <v>0</v>
      </c>
      <c r="AW241" s="161">
        <f>ROUND(F241*AO241,2)</f>
        <v>0</v>
      </c>
      <c r="AX241" s="161">
        <f>ROUND(F241*AP241,2)</f>
        <v>0</v>
      </c>
      <c r="AY241" s="162" t="s">
        <v>224</v>
      </c>
      <c r="AZ241" s="162" t="s">
        <v>176</v>
      </c>
      <c r="BA241" s="163" t="s">
        <v>117</v>
      </c>
      <c r="BC241" s="161">
        <f>AW241+AX241</f>
        <v>0</v>
      </c>
      <c r="BD241" s="161">
        <f>G241/(100-BE241)*100</f>
        <v>0</v>
      </c>
      <c r="BE241" s="161">
        <v>0</v>
      </c>
      <c r="BF241" s="161">
        <f>L241</f>
        <v>0.65339999999999998</v>
      </c>
      <c r="BH241" s="161">
        <f>F241*AO241</f>
        <v>0</v>
      </c>
      <c r="BI241" s="161">
        <f>F241*AP241</f>
        <v>0</v>
      </c>
      <c r="BJ241" s="161">
        <f>F241*G241</f>
        <v>0</v>
      </c>
      <c r="BK241" s="162" t="s">
        <v>246</v>
      </c>
      <c r="BL241" s="161">
        <v>762</v>
      </c>
      <c r="BW241" s="161">
        <v>21</v>
      </c>
      <c r="BX241" s="160" t="s">
        <v>258</v>
      </c>
    </row>
    <row r="242" spans="1:76" x14ac:dyDescent="0.25">
      <c r="A242" s="179"/>
      <c r="C242" s="178" t="s">
        <v>257</v>
      </c>
      <c r="D242" s="178" t="s">
        <v>256</v>
      </c>
      <c r="F242" s="177">
        <v>0.99</v>
      </c>
      <c r="M242" s="176"/>
    </row>
    <row r="243" spans="1:76" x14ac:dyDescent="0.25">
      <c r="A243" s="168" t="s">
        <v>255</v>
      </c>
      <c r="B243" s="167" t="s">
        <v>254</v>
      </c>
      <c r="C243" s="88" t="s">
        <v>253</v>
      </c>
      <c r="D243" s="87"/>
      <c r="E243" s="167" t="s">
        <v>167</v>
      </c>
      <c r="F243" s="161">
        <v>131</v>
      </c>
      <c r="G243" s="165">
        <v>0</v>
      </c>
      <c r="H243" s="161">
        <f>ROUND(F243*AO243,2)</f>
        <v>0</v>
      </c>
      <c r="I243" s="161">
        <f>ROUND(F243*AP243,2)</f>
        <v>0</v>
      </c>
      <c r="J243" s="161">
        <f>ROUND(F243*G243,2)</f>
        <v>0</v>
      </c>
      <c r="K243" s="161">
        <v>2.1000000000000001E-4</v>
      </c>
      <c r="L243" s="161">
        <f>F243*K243</f>
        <v>2.751E-2</v>
      </c>
      <c r="M243" s="164" t="s">
        <v>121</v>
      </c>
      <c r="Z243" s="161">
        <f>ROUND(IF(AQ243="5",BJ243,0),2)</f>
        <v>0</v>
      </c>
      <c r="AB243" s="161">
        <f>ROUND(IF(AQ243="1",BH243,0),2)</f>
        <v>0</v>
      </c>
      <c r="AC243" s="161">
        <f>ROUND(IF(AQ243="1",BI243,0),2)</f>
        <v>0</v>
      </c>
      <c r="AD243" s="161">
        <f>ROUND(IF(AQ243="7",BH243,0),2)</f>
        <v>0</v>
      </c>
      <c r="AE243" s="161">
        <f>ROUND(IF(AQ243="7",BI243,0),2)</f>
        <v>0</v>
      </c>
      <c r="AF243" s="161">
        <f>ROUND(IF(AQ243="2",BH243,0),2)</f>
        <v>0</v>
      </c>
      <c r="AG243" s="161">
        <f>ROUND(IF(AQ243="2",BI243,0),2)</f>
        <v>0</v>
      </c>
      <c r="AH243" s="161">
        <f>ROUND(IF(AQ243="0",BJ243,0),2)</f>
        <v>0</v>
      </c>
      <c r="AI243" s="163" t="s">
        <v>53</v>
      </c>
      <c r="AJ243" s="161">
        <f>IF(AN243=0,J243,0)</f>
        <v>0</v>
      </c>
      <c r="AK243" s="161">
        <f>IF(AN243=12,J243,0)</f>
        <v>0</v>
      </c>
      <c r="AL243" s="161">
        <f>IF(AN243=21,J243,0)</f>
        <v>0</v>
      </c>
      <c r="AN243" s="161">
        <v>21</v>
      </c>
      <c r="AO243" s="161">
        <f>G243*0.046359712</f>
        <v>0</v>
      </c>
      <c r="AP243" s="161">
        <f>G243*(1-0.046359712)</f>
        <v>0</v>
      </c>
      <c r="AQ243" s="162" t="s">
        <v>166</v>
      </c>
      <c r="AV243" s="161">
        <f>ROUND(AW243+AX243,2)</f>
        <v>0</v>
      </c>
      <c r="AW243" s="161">
        <f>ROUND(F243*AO243,2)</f>
        <v>0</v>
      </c>
      <c r="AX243" s="161">
        <f>ROUND(F243*AP243,2)</f>
        <v>0</v>
      </c>
      <c r="AY243" s="162" t="s">
        <v>224</v>
      </c>
      <c r="AZ243" s="162" t="s">
        <v>176</v>
      </c>
      <c r="BA243" s="163" t="s">
        <v>117</v>
      </c>
      <c r="BC243" s="161">
        <f>AW243+AX243</f>
        <v>0</v>
      </c>
      <c r="BD243" s="161">
        <f>G243/(100-BE243)*100</f>
        <v>0</v>
      </c>
      <c r="BE243" s="161">
        <v>0</v>
      </c>
      <c r="BF243" s="161">
        <f>L243</f>
        <v>2.751E-2</v>
      </c>
      <c r="BH243" s="161">
        <f>F243*AO243</f>
        <v>0</v>
      </c>
      <c r="BI243" s="161">
        <f>F243*AP243</f>
        <v>0</v>
      </c>
      <c r="BJ243" s="161">
        <f>F243*G243</f>
        <v>0</v>
      </c>
      <c r="BK243" s="162" t="s">
        <v>116</v>
      </c>
      <c r="BL243" s="161">
        <v>762</v>
      </c>
      <c r="BW243" s="161">
        <v>21</v>
      </c>
      <c r="BX243" s="160" t="s">
        <v>253</v>
      </c>
    </row>
    <row r="244" spans="1:76" x14ac:dyDescent="0.25">
      <c r="A244" s="179"/>
      <c r="C244" s="182" t="s">
        <v>252</v>
      </c>
      <c r="D244" s="181"/>
      <c r="F244" s="177">
        <v>0</v>
      </c>
      <c r="M244" s="176"/>
    </row>
    <row r="245" spans="1:76" x14ac:dyDescent="0.25">
      <c r="A245" s="179"/>
      <c r="C245" s="178" t="s">
        <v>251</v>
      </c>
      <c r="D245" s="178" t="s">
        <v>250</v>
      </c>
      <c r="F245" s="177">
        <v>120</v>
      </c>
      <c r="M245" s="176"/>
    </row>
    <row r="246" spans="1:76" x14ac:dyDescent="0.25">
      <c r="A246" s="179"/>
      <c r="C246" s="178" t="s">
        <v>249</v>
      </c>
      <c r="D246" s="178" t="s">
        <v>241</v>
      </c>
      <c r="F246" s="177">
        <v>11</v>
      </c>
      <c r="M246" s="176"/>
    </row>
    <row r="247" spans="1:76" x14ac:dyDescent="0.25">
      <c r="A247" s="168" t="s">
        <v>248</v>
      </c>
      <c r="B247" s="167" t="s">
        <v>247</v>
      </c>
      <c r="C247" s="88" t="s">
        <v>245</v>
      </c>
      <c r="D247" s="87"/>
      <c r="E247" s="167" t="s">
        <v>238</v>
      </c>
      <c r="F247" s="161">
        <v>7.2050000000000001</v>
      </c>
      <c r="G247" s="165">
        <v>0</v>
      </c>
      <c r="H247" s="161">
        <f>ROUND(F247*AO247,2)</f>
        <v>0</v>
      </c>
      <c r="I247" s="161">
        <f>ROUND(F247*AP247,2)</f>
        <v>0</v>
      </c>
      <c r="J247" s="161">
        <f>ROUND(F247*G247,2)</f>
        <v>0</v>
      </c>
      <c r="K247" s="161">
        <v>0.66</v>
      </c>
      <c r="L247" s="161">
        <f>F247*K247</f>
        <v>4.7553000000000001</v>
      </c>
      <c r="M247" s="164" t="s">
        <v>121</v>
      </c>
      <c r="Z247" s="161">
        <f>ROUND(IF(AQ247="5",BJ247,0),2)</f>
        <v>0</v>
      </c>
      <c r="AB247" s="161">
        <f>ROUND(IF(AQ247="1",BH247,0),2)</f>
        <v>0</v>
      </c>
      <c r="AC247" s="161">
        <f>ROUND(IF(AQ247="1",BI247,0),2)</f>
        <v>0</v>
      </c>
      <c r="AD247" s="161">
        <f>ROUND(IF(AQ247="7",BH247,0),2)</f>
        <v>0</v>
      </c>
      <c r="AE247" s="161">
        <f>ROUND(IF(AQ247="7",BI247,0),2)</f>
        <v>0</v>
      </c>
      <c r="AF247" s="161">
        <f>ROUND(IF(AQ247="2",BH247,0),2)</f>
        <v>0</v>
      </c>
      <c r="AG247" s="161">
        <f>ROUND(IF(AQ247="2",BI247,0),2)</f>
        <v>0</v>
      </c>
      <c r="AH247" s="161">
        <f>ROUND(IF(AQ247="0",BJ247,0),2)</f>
        <v>0</v>
      </c>
      <c r="AI247" s="163" t="s">
        <v>53</v>
      </c>
      <c r="AJ247" s="161">
        <f>IF(AN247=0,J247,0)</f>
        <v>0</v>
      </c>
      <c r="AK247" s="161">
        <f>IF(AN247=12,J247,0)</f>
        <v>0</v>
      </c>
      <c r="AL247" s="161">
        <f>IF(AN247=21,J247,0)</f>
        <v>0</v>
      </c>
      <c r="AN247" s="161">
        <v>21</v>
      </c>
      <c r="AO247" s="161">
        <f>G247*1</f>
        <v>0</v>
      </c>
      <c r="AP247" s="161">
        <f>G247*(1-1)</f>
        <v>0</v>
      </c>
      <c r="AQ247" s="162" t="s">
        <v>166</v>
      </c>
      <c r="AV247" s="161">
        <f>ROUND(AW247+AX247,2)</f>
        <v>0</v>
      </c>
      <c r="AW247" s="161">
        <f>ROUND(F247*AO247,2)</f>
        <v>0</v>
      </c>
      <c r="AX247" s="161">
        <f>ROUND(F247*AP247,2)</f>
        <v>0</v>
      </c>
      <c r="AY247" s="162" t="s">
        <v>224</v>
      </c>
      <c r="AZ247" s="162" t="s">
        <v>176</v>
      </c>
      <c r="BA247" s="163" t="s">
        <v>117</v>
      </c>
      <c r="BC247" s="161">
        <f>AW247+AX247</f>
        <v>0</v>
      </c>
      <c r="BD247" s="161">
        <f>G247/(100-BE247)*100</f>
        <v>0</v>
      </c>
      <c r="BE247" s="161">
        <v>0</v>
      </c>
      <c r="BF247" s="161">
        <f>L247</f>
        <v>4.7553000000000001</v>
      </c>
      <c r="BH247" s="161">
        <f>F247*AO247</f>
        <v>0</v>
      </c>
      <c r="BI247" s="161">
        <f>F247*AP247</f>
        <v>0</v>
      </c>
      <c r="BJ247" s="161">
        <f>F247*G247</f>
        <v>0</v>
      </c>
      <c r="BK247" s="162" t="s">
        <v>246</v>
      </c>
      <c r="BL247" s="161">
        <v>762</v>
      </c>
      <c r="BW247" s="161">
        <v>21</v>
      </c>
      <c r="BX247" s="160" t="s">
        <v>245</v>
      </c>
    </row>
    <row r="248" spans="1:76" x14ac:dyDescent="0.25">
      <c r="A248" s="179"/>
      <c r="C248" s="178" t="s">
        <v>244</v>
      </c>
      <c r="D248" s="178" t="s">
        <v>243</v>
      </c>
      <c r="F248" s="177">
        <v>6.6</v>
      </c>
      <c r="M248" s="176"/>
    </row>
    <row r="249" spans="1:76" x14ac:dyDescent="0.25">
      <c r="A249" s="179"/>
      <c r="C249" s="178" t="s">
        <v>242</v>
      </c>
      <c r="D249" s="178" t="s">
        <v>241</v>
      </c>
      <c r="F249" s="177">
        <v>0.60499999999999998</v>
      </c>
      <c r="M249" s="176"/>
    </row>
    <row r="250" spans="1:76" x14ac:dyDescent="0.25">
      <c r="A250" s="168" t="s">
        <v>240</v>
      </c>
      <c r="B250" s="167" t="s">
        <v>239</v>
      </c>
      <c r="C250" s="88" t="s">
        <v>237</v>
      </c>
      <c r="D250" s="87"/>
      <c r="E250" s="167" t="s">
        <v>238</v>
      </c>
      <c r="F250" s="161">
        <v>14.02</v>
      </c>
      <c r="G250" s="165">
        <v>0</v>
      </c>
      <c r="H250" s="161">
        <f>ROUND(F250*AO250,2)</f>
        <v>0</v>
      </c>
      <c r="I250" s="161">
        <f>ROUND(F250*AP250,2)</f>
        <v>0</v>
      </c>
      <c r="J250" s="161">
        <f>ROUND(F250*G250,2)</f>
        <v>0</v>
      </c>
      <c r="K250" s="161">
        <v>2.6839999999999999E-2</v>
      </c>
      <c r="L250" s="161">
        <f>F250*K250</f>
        <v>0.37629679999999999</v>
      </c>
      <c r="M250" s="164" t="s">
        <v>121</v>
      </c>
      <c r="Z250" s="161">
        <f>ROUND(IF(AQ250="5",BJ250,0),2)</f>
        <v>0</v>
      </c>
      <c r="AB250" s="161">
        <f>ROUND(IF(AQ250="1",BH250,0),2)</f>
        <v>0</v>
      </c>
      <c r="AC250" s="161">
        <f>ROUND(IF(AQ250="1",BI250,0),2)</f>
        <v>0</v>
      </c>
      <c r="AD250" s="161">
        <f>ROUND(IF(AQ250="7",BH250,0),2)</f>
        <v>0</v>
      </c>
      <c r="AE250" s="161">
        <f>ROUND(IF(AQ250="7",BI250,0),2)</f>
        <v>0</v>
      </c>
      <c r="AF250" s="161">
        <f>ROUND(IF(AQ250="2",BH250,0),2)</f>
        <v>0</v>
      </c>
      <c r="AG250" s="161">
        <f>ROUND(IF(AQ250="2",BI250,0),2)</f>
        <v>0</v>
      </c>
      <c r="AH250" s="161">
        <f>ROUND(IF(AQ250="0",BJ250,0),2)</f>
        <v>0</v>
      </c>
      <c r="AI250" s="163" t="s">
        <v>53</v>
      </c>
      <c r="AJ250" s="161">
        <f>IF(AN250=0,J250,0)</f>
        <v>0</v>
      </c>
      <c r="AK250" s="161">
        <f>IF(AN250=12,J250,0)</f>
        <v>0</v>
      </c>
      <c r="AL250" s="161">
        <f>IF(AN250=21,J250,0)</f>
        <v>0</v>
      </c>
      <c r="AN250" s="161">
        <v>21</v>
      </c>
      <c r="AO250" s="161">
        <f>G250*1</f>
        <v>0</v>
      </c>
      <c r="AP250" s="161">
        <f>G250*(1-1)</f>
        <v>0</v>
      </c>
      <c r="AQ250" s="162" t="s">
        <v>166</v>
      </c>
      <c r="AV250" s="161">
        <f>ROUND(AW250+AX250,2)</f>
        <v>0</v>
      </c>
      <c r="AW250" s="161">
        <f>ROUND(F250*AO250,2)</f>
        <v>0</v>
      </c>
      <c r="AX250" s="161">
        <f>ROUND(F250*AP250,2)</f>
        <v>0</v>
      </c>
      <c r="AY250" s="162" t="s">
        <v>224</v>
      </c>
      <c r="AZ250" s="162" t="s">
        <v>176</v>
      </c>
      <c r="BA250" s="163" t="s">
        <v>117</v>
      </c>
      <c r="BC250" s="161">
        <f>AW250+AX250</f>
        <v>0</v>
      </c>
      <c r="BD250" s="161">
        <f>G250/(100-BE250)*100</f>
        <v>0</v>
      </c>
      <c r="BE250" s="161">
        <v>0</v>
      </c>
      <c r="BF250" s="161">
        <f>L250</f>
        <v>0.37629679999999999</v>
      </c>
      <c r="BH250" s="161">
        <f>F250*AO250</f>
        <v>0</v>
      </c>
      <c r="BI250" s="161">
        <f>F250*AP250</f>
        <v>0</v>
      </c>
      <c r="BJ250" s="161">
        <f>F250*G250</f>
        <v>0</v>
      </c>
      <c r="BK250" s="162" t="s">
        <v>116</v>
      </c>
      <c r="BL250" s="161">
        <v>762</v>
      </c>
      <c r="BW250" s="161">
        <v>21</v>
      </c>
      <c r="BX250" s="160" t="s">
        <v>237</v>
      </c>
    </row>
    <row r="251" spans="1:76" x14ac:dyDescent="0.25">
      <c r="A251" s="179"/>
      <c r="C251" s="178" t="s">
        <v>236</v>
      </c>
      <c r="D251" s="178" t="s">
        <v>235</v>
      </c>
      <c r="F251" s="177">
        <v>4.0599999999999996</v>
      </c>
      <c r="M251" s="176"/>
    </row>
    <row r="252" spans="1:76" x14ac:dyDescent="0.25">
      <c r="A252" s="179"/>
      <c r="C252" s="178" t="s">
        <v>234</v>
      </c>
      <c r="D252" s="178" t="s">
        <v>233</v>
      </c>
      <c r="F252" s="177">
        <v>5.68</v>
      </c>
      <c r="M252" s="176"/>
    </row>
    <row r="253" spans="1:76" x14ac:dyDescent="0.25">
      <c r="A253" s="179"/>
      <c r="C253" s="178" t="s">
        <v>232</v>
      </c>
      <c r="D253" s="178" t="s">
        <v>231</v>
      </c>
      <c r="F253" s="177">
        <v>2.5099999999999998</v>
      </c>
      <c r="M253" s="176"/>
    </row>
    <row r="254" spans="1:76" x14ac:dyDescent="0.25">
      <c r="A254" s="179"/>
      <c r="C254" s="178" t="s">
        <v>230</v>
      </c>
      <c r="D254" s="178" t="s">
        <v>229</v>
      </c>
      <c r="F254" s="177">
        <v>0.17</v>
      </c>
      <c r="M254" s="176"/>
    </row>
    <row r="255" spans="1:76" x14ac:dyDescent="0.25">
      <c r="A255" s="179"/>
      <c r="C255" s="178" t="s">
        <v>228</v>
      </c>
      <c r="D255" s="178" t="s">
        <v>227</v>
      </c>
      <c r="F255" s="177">
        <v>1.6</v>
      </c>
      <c r="M255" s="176"/>
    </row>
    <row r="256" spans="1:76" x14ac:dyDescent="0.25">
      <c r="A256" s="168" t="s">
        <v>226</v>
      </c>
      <c r="B256" s="167" t="s">
        <v>225</v>
      </c>
      <c r="C256" s="88" t="s">
        <v>223</v>
      </c>
      <c r="D256" s="87"/>
      <c r="E256" s="167" t="s">
        <v>206</v>
      </c>
      <c r="F256" s="161">
        <v>24.69</v>
      </c>
      <c r="G256" s="165">
        <v>0</v>
      </c>
      <c r="H256" s="161">
        <f>ROUND(F256*AO256,2)</f>
        <v>0</v>
      </c>
      <c r="I256" s="161">
        <f>ROUND(F256*AP256,2)</f>
        <v>0</v>
      </c>
      <c r="J256" s="161">
        <f>ROUND(F256*G256,2)</f>
        <v>0</v>
      </c>
      <c r="K256" s="161">
        <v>0</v>
      </c>
      <c r="L256" s="161">
        <f>F256*K256</f>
        <v>0</v>
      </c>
      <c r="M256" s="164" t="s">
        <v>121</v>
      </c>
      <c r="Z256" s="161">
        <f>ROUND(IF(AQ256="5",BJ256,0),2)</f>
        <v>0</v>
      </c>
      <c r="AB256" s="161">
        <f>ROUND(IF(AQ256="1",BH256,0),2)</f>
        <v>0</v>
      </c>
      <c r="AC256" s="161">
        <f>ROUND(IF(AQ256="1",BI256,0),2)</f>
        <v>0</v>
      </c>
      <c r="AD256" s="161">
        <f>ROUND(IF(AQ256="7",BH256,0),2)</f>
        <v>0</v>
      </c>
      <c r="AE256" s="161">
        <f>ROUND(IF(AQ256="7",BI256,0),2)</f>
        <v>0</v>
      </c>
      <c r="AF256" s="161">
        <f>ROUND(IF(AQ256="2",BH256,0),2)</f>
        <v>0</v>
      </c>
      <c r="AG256" s="161">
        <f>ROUND(IF(AQ256="2",BI256,0),2)</f>
        <v>0</v>
      </c>
      <c r="AH256" s="161">
        <f>ROUND(IF(AQ256="0",BJ256,0),2)</f>
        <v>0</v>
      </c>
      <c r="AI256" s="163" t="s">
        <v>53</v>
      </c>
      <c r="AJ256" s="161">
        <f>IF(AN256=0,J256,0)</f>
        <v>0</v>
      </c>
      <c r="AK256" s="161">
        <f>IF(AN256=12,J256,0)</f>
        <v>0</v>
      </c>
      <c r="AL256" s="161">
        <f>IF(AN256=21,J256,0)</f>
        <v>0</v>
      </c>
      <c r="AN256" s="161">
        <v>21</v>
      </c>
      <c r="AO256" s="161">
        <f>G256*0</f>
        <v>0</v>
      </c>
      <c r="AP256" s="161">
        <f>G256*(1-0)</f>
        <v>0</v>
      </c>
      <c r="AQ256" s="162" t="s">
        <v>205</v>
      </c>
      <c r="AV256" s="161">
        <f>ROUND(AW256+AX256,2)</f>
        <v>0</v>
      </c>
      <c r="AW256" s="161">
        <f>ROUND(F256*AO256,2)</f>
        <v>0</v>
      </c>
      <c r="AX256" s="161">
        <f>ROUND(F256*AP256,2)</f>
        <v>0</v>
      </c>
      <c r="AY256" s="162" t="s">
        <v>224</v>
      </c>
      <c r="AZ256" s="162" t="s">
        <v>176</v>
      </c>
      <c r="BA256" s="163" t="s">
        <v>117</v>
      </c>
      <c r="BC256" s="161">
        <f>AW256+AX256</f>
        <v>0</v>
      </c>
      <c r="BD256" s="161">
        <f>G256/(100-BE256)*100</f>
        <v>0</v>
      </c>
      <c r="BE256" s="161">
        <v>0</v>
      </c>
      <c r="BF256" s="161">
        <f>L256</f>
        <v>0</v>
      </c>
      <c r="BH256" s="161">
        <f>F256*AO256</f>
        <v>0</v>
      </c>
      <c r="BI256" s="161">
        <f>F256*AP256</f>
        <v>0</v>
      </c>
      <c r="BJ256" s="161">
        <f>F256*G256</f>
        <v>0</v>
      </c>
      <c r="BK256" s="162" t="s">
        <v>116</v>
      </c>
      <c r="BL256" s="161">
        <v>762</v>
      </c>
      <c r="BW256" s="161">
        <v>21</v>
      </c>
      <c r="BX256" s="160" t="s">
        <v>223</v>
      </c>
    </row>
    <row r="257" spans="1:76" x14ac:dyDescent="0.25">
      <c r="A257" s="175" t="s">
        <v>53</v>
      </c>
      <c r="B257" s="174" t="s">
        <v>222</v>
      </c>
      <c r="C257" s="173" t="s">
        <v>221</v>
      </c>
      <c r="D257" s="172"/>
      <c r="E257" s="171" t="s">
        <v>1</v>
      </c>
      <c r="F257" s="171" t="s">
        <v>1</v>
      </c>
      <c r="G257" s="171" t="s">
        <v>1</v>
      </c>
      <c r="H257" s="169">
        <f>ROUND(SUM(H258:H262),2)</f>
        <v>0</v>
      </c>
      <c r="I257" s="169">
        <f>ROUND(SUM(I258:I262),2)</f>
        <v>0</v>
      </c>
      <c r="J257" s="169">
        <f>ROUND(SUM(J258:J262),2)</f>
        <v>0</v>
      </c>
      <c r="K257" s="163" t="s">
        <v>53</v>
      </c>
      <c r="L257" s="169">
        <f>SUM(L258:L262)</f>
        <v>0.13868</v>
      </c>
      <c r="M257" s="170" t="s">
        <v>53</v>
      </c>
      <c r="AI257" s="163" t="s">
        <v>53</v>
      </c>
      <c r="AS257" s="169">
        <f>SUM(AJ258:AJ262)</f>
        <v>0</v>
      </c>
      <c r="AT257" s="169">
        <f>SUM(AK258:AK262)</f>
        <v>0</v>
      </c>
      <c r="AU257" s="169">
        <f>SUM(AL258:AL262)</f>
        <v>0</v>
      </c>
    </row>
    <row r="258" spans="1:76" x14ac:dyDescent="0.25">
      <c r="A258" s="168" t="s">
        <v>220</v>
      </c>
      <c r="B258" s="167" t="s">
        <v>219</v>
      </c>
      <c r="C258" s="180" t="s">
        <v>218</v>
      </c>
      <c r="D258" s="87"/>
      <c r="E258" s="167" t="s">
        <v>217</v>
      </c>
      <c r="F258" s="161">
        <v>45.6</v>
      </c>
      <c r="G258" s="165">
        <v>0</v>
      </c>
      <c r="H258" s="161">
        <f>ROUND(F258*AO258,2)</f>
        <v>0</v>
      </c>
      <c r="I258" s="161">
        <f>ROUND(F258*AP258,2)</f>
        <v>0</v>
      </c>
      <c r="J258" s="161">
        <f>ROUND(F258*G258,2)</f>
        <v>0</v>
      </c>
      <c r="K258" s="161">
        <v>2.9999999999999997E-4</v>
      </c>
      <c r="L258" s="161">
        <f>F258*K258</f>
        <v>1.3679999999999999E-2</v>
      </c>
      <c r="M258" s="164" t="s">
        <v>121</v>
      </c>
      <c r="Z258" s="161">
        <f>ROUND(IF(AQ258="5",BJ258,0),2)</f>
        <v>0</v>
      </c>
      <c r="AB258" s="161">
        <f>ROUND(IF(AQ258="1",BH258,0),2)</f>
        <v>0</v>
      </c>
      <c r="AC258" s="161">
        <f>ROUND(IF(AQ258="1",BI258,0),2)</f>
        <v>0</v>
      </c>
      <c r="AD258" s="161">
        <f>ROUND(IF(AQ258="7",BH258,0),2)</f>
        <v>0</v>
      </c>
      <c r="AE258" s="161">
        <f>ROUND(IF(AQ258="7",BI258,0),2)</f>
        <v>0</v>
      </c>
      <c r="AF258" s="161">
        <f>ROUND(IF(AQ258="2",BH258,0),2)</f>
        <v>0</v>
      </c>
      <c r="AG258" s="161">
        <f>ROUND(IF(AQ258="2",BI258,0),2)</f>
        <v>0</v>
      </c>
      <c r="AH258" s="161">
        <f>ROUND(IF(AQ258="0",BJ258,0),2)</f>
        <v>0</v>
      </c>
      <c r="AI258" s="163" t="s">
        <v>53</v>
      </c>
      <c r="AJ258" s="161">
        <f>IF(AN258=0,J258,0)</f>
        <v>0</v>
      </c>
      <c r="AK258" s="161">
        <f>IF(AN258=12,J258,0)</f>
        <v>0</v>
      </c>
      <c r="AL258" s="161">
        <f>IF(AN258=21,J258,0)</f>
        <v>0</v>
      </c>
      <c r="AN258" s="161">
        <v>21</v>
      </c>
      <c r="AO258" s="161">
        <f>G258*0.059801225</f>
        <v>0</v>
      </c>
      <c r="AP258" s="161">
        <f>G258*(1-0.059801225)</f>
        <v>0</v>
      </c>
      <c r="AQ258" s="162" t="s">
        <v>166</v>
      </c>
      <c r="AV258" s="161">
        <f>ROUND(AW258+AX258,2)</f>
        <v>0</v>
      </c>
      <c r="AW258" s="161">
        <f>ROUND(F258*AO258,2)</f>
        <v>0</v>
      </c>
      <c r="AX258" s="161">
        <f>ROUND(F258*AP258,2)</f>
        <v>0</v>
      </c>
      <c r="AY258" s="162" t="s">
        <v>204</v>
      </c>
      <c r="AZ258" s="162" t="s">
        <v>176</v>
      </c>
      <c r="BA258" s="163" t="s">
        <v>117</v>
      </c>
      <c r="BC258" s="161">
        <f>AW258+AX258</f>
        <v>0</v>
      </c>
      <c r="BD258" s="161">
        <f>G258/(100-BE258)*100</f>
        <v>0</v>
      </c>
      <c r="BE258" s="161">
        <v>0</v>
      </c>
      <c r="BF258" s="161">
        <f>L258</f>
        <v>1.3679999999999999E-2</v>
      </c>
      <c r="BH258" s="161">
        <f>F258*AO258</f>
        <v>0</v>
      </c>
      <c r="BI258" s="161">
        <f>F258*AP258</f>
        <v>0</v>
      </c>
      <c r="BJ258" s="161">
        <f>F258*G258</f>
        <v>0</v>
      </c>
      <c r="BK258" s="162" t="s">
        <v>116</v>
      </c>
      <c r="BL258" s="161">
        <v>766</v>
      </c>
      <c r="BW258" s="161">
        <v>21</v>
      </c>
      <c r="BX258" s="160" t="s">
        <v>216</v>
      </c>
    </row>
    <row r="259" spans="1:76" x14ac:dyDescent="0.25">
      <c r="A259" s="179"/>
      <c r="C259" s="178" t="s">
        <v>215</v>
      </c>
      <c r="D259" s="178" t="s">
        <v>214</v>
      </c>
      <c r="F259" s="177">
        <v>45.6</v>
      </c>
      <c r="M259" s="176"/>
    </row>
    <row r="260" spans="1:76" x14ac:dyDescent="0.25">
      <c r="A260" s="168" t="s">
        <v>213</v>
      </c>
      <c r="B260" s="167" t="s">
        <v>212</v>
      </c>
      <c r="C260" s="88" t="s">
        <v>210</v>
      </c>
      <c r="D260" s="87"/>
      <c r="E260" s="167" t="s">
        <v>211</v>
      </c>
      <c r="F260" s="161">
        <v>1</v>
      </c>
      <c r="G260" s="165">
        <v>0</v>
      </c>
      <c r="H260" s="161">
        <f>ROUND(F260*AO260,2)</f>
        <v>0</v>
      </c>
      <c r="I260" s="161">
        <f>ROUND(F260*AP260,2)</f>
        <v>0</v>
      </c>
      <c r="J260" s="161">
        <f>ROUND(F260*G260,2)</f>
        <v>0</v>
      </c>
      <c r="K260" s="161">
        <v>0.125</v>
      </c>
      <c r="L260" s="161">
        <f>F260*K260</f>
        <v>0.125</v>
      </c>
      <c r="M260" s="164" t="s">
        <v>179</v>
      </c>
      <c r="Z260" s="161">
        <f>ROUND(IF(AQ260="5",BJ260,0),2)</f>
        <v>0</v>
      </c>
      <c r="AB260" s="161">
        <f>ROUND(IF(AQ260="1",BH260,0),2)</f>
        <v>0</v>
      </c>
      <c r="AC260" s="161">
        <f>ROUND(IF(AQ260="1",BI260,0),2)</f>
        <v>0</v>
      </c>
      <c r="AD260" s="161">
        <f>ROUND(IF(AQ260="7",BH260,0),2)</f>
        <v>0</v>
      </c>
      <c r="AE260" s="161">
        <f>ROUND(IF(AQ260="7",BI260,0),2)</f>
        <v>0</v>
      </c>
      <c r="AF260" s="161">
        <f>ROUND(IF(AQ260="2",BH260,0),2)</f>
        <v>0</v>
      </c>
      <c r="AG260" s="161">
        <f>ROUND(IF(AQ260="2",BI260,0),2)</f>
        <v>0</v>
      </c>
      <c r="AH260" s="161">
        <f>ROUND(IF(AQ260="0",BJ260,0),2)</f>
        <v>0</v>
      </c>
      <c r="AI260" s="163" t="s">
        <v>53</v>
      </c>
      <c r="AJ260" s="161">
        <f>IF(AN260=0,J260,0)</f>
        <v>0</v>
      </c>
      <c r="AK260" s="161">
        <f>IF(AN260=12,J260,0)</f>
        <v>0</v>
      </c>
      <c r="AL260" s="161">
        <f>IF(AN260=21,J260,0)</f>
        <v>0</v>
      </c>
      <c r="AN260" s="161">
        <v>21</v>
      </c>
      <c r="AO260" s="161">
        <f>G260*1</f>
        <v>0</v>
      </c>
      <c r="AP260" s="161">
        <f>G260*(1-1)</f>
        <v>0</v>
      </c>
      <c r="AQ260" s="162" t="s">
        <v>178</v>
      </c>
      <c r="AV260" s="161">
        <f>ROUND(AW260+AX260,2)</f>
        <v>0</v>
      </c>
      <c r="AW260" s="161">
        <f>ROUND(F260*AO260,2)</f>
        <v>0</v>
      </c>
      <c r="AX260" s="161">
        <f>ROUND(F260*AP260,2)</f>
        <v>0</v>
      </c>
      <c r="AY260" s="162" t="s">
        <v>204</v>
      </c>
      <c r="AZ260" s="162" t="s">
        <v>176</v>
      </c>
      <c r="BA260" s="163" t="s">
        <v>117</v>
      </c>
      <c r="BC260" s="161">
        <f>AW260+AX260</f>
        <v>0</v>
      </c>
      <c r="BD260" s="161">
        <f>G260/(100-BE260)*100</f>
        <v>0</v>
      </c>
      <c r="BE260" s="161">
        <v>0</v>
      </c>
      <c r="BF260" s="161">
        <f>L260</f>
        <v>0.125</v>
      </c>
      <c r="BH260" s="161">
        <f>F260*AO260</f>
        <v>0</v>
      </c>
      <c r="BI260" s="161">
        <f>F260*AP260</f>
        <v>0</v>
      </c>
      <c r="BJ260" s="161">
        <f>F260*G260</f>
        <v>0</v>
      </c>
      <c r="BK260" s="162" t="s">
        <v>116</v>
      </c>
      <c r="BL260" s="161">
        <v>766</v>
      </c>
      <c r="BW260" s="161">
        <v>21</v>
      </c>
      <c r="BX260" s="160" t="s">
        <v>210</v>
      </c>
    </row>
    <row r="261" spans="1:76" x14ac:dyDescent="0.25">
      <c r="A261" s="179"/>
      <c r="C261" s="178" t="s">
        <v>114</v>
      </c>
      <c r="D261" s="178" t="s">
        <v>209</v>
      </c>
      <c r="F261" s="177">
        <v>1</v>
      </c>
      <c r="M261" s="176"/>
    </row>
    <row r="262" spans="1:76" x14ac:dyDescent="0.25">
      <c r="A262" s="168" t="s">
        <v>208</v>
      </c>
      <c r="B262" s="167" t="s">
        <v>207</v>
      </c>
      <c r="C262" s="88" t="s">
        <v>203</v>
      </c>
      <c r="D262" s="87"/>
      <c r="E262" s="167" t="s">
        <v>206</v>
      </c>
      <c r="F262" s="161">
        <v>0.13900000000000001</v>
      </c>
      <c r="G262" s="165">
        <v>0</v>
      </c>
      <c r="H262" s="161">
        <f>ROUND(F262*AO262,2)</f>
        <v>0</v>
      </c>
      <c r="I262" s="161">
        <f>ROUND(F262*AP262,2)</f>
        <v>0</v>
      </c>
      <c r="J262" s="161">
        <f>ROUND(F262*G262,2)</f>
        <v>0</v>
      </c>
      <c r="K262" s="161">
        <v>0</v>
      </c>
      <c r="L262" s="161">
        <f>F262*K262</f>
        <v>0</v>
      </c>
      <c r="M262" s="164" t="s">
        <v>121</v>
      </c>
      <c r="Z262" s="161">
        <f>ROUND(IF(AQ262="5",BJ262,0),2)</f>
        <v>0</v>
      </c>
      <c r="AB262" s="161">
        <f>ROUND(IF(AQ262="1",BH262,0),2)</f>
        <v>0</v>
      </c>
      <c r="AC262" s="161">
        <f>ROUND(IF(AQ262="1",BI262,0),2)</f>
        <v>0</v>
      </c>
      <c r="AD262" s="161">
        <f>ROUND(IF(AQ262="7",BH262,0),2)</f>
        <v>0</v>
      </c>
      <c r="AE262" s="161">
        <f>ROUND(IF(AQ262="7",BI262,0),2)</f>
        <v>0</v>
      </c>
      <c r="AF262" s="161">
        <f>ROUND(IF(AQ262="2",BH262,0),2)</f>
        <v>0</v>
      </c>
      <c r="AG262" s="161">
        <f>ROUND(IF(AQ262="2",BI262,0),2)</f>
        <v>0</v>
      </c>
      <c r="AH262" s="161">
        <f>ROUND(IF(AQ262="0",BJ262,0),2)</f>
        <v>0</v>
      </c>
      <c r="AI262" s="163" t="s">
        <v>53</v>
      </c>
      <c r="AJ262" s="161">
        <f>IF(AN262=0,J262,0)</f>
        <v>0</v>
      </c>
      <c r="AK262" s="161">
        <f>IF(AN262=12,J262,0)</f>
        <v>0</v>
      </c>
      <c r="AL262" s="161">
        <f>IF(AN262=21,J262,0)</f>
        <v>0</v>
      </c>
      <c r="AN262" s="161">
        <v>21</v>
      </c>
      <c r="AO262" s="161">
        <f>G262*0</f>
        <v>0</v>
      </c>
      <c r="AP262" s="161">
        <f>G262*(1-0)</f>
        <v>0</v>
      </c>
      <c r="AQ262" s="162" t="s">
        <v>205</v>
      </c>
      <c r="AV262" s="161">
        <f>ROUND(AW262+AX262,2)</f>
        <v>0</v>
      </c>
      <c r="AW262" s="161">
        <f>ROUND(F262*AO262,2)</f>
        <v>0</v>
      </c>
      <c r="AX262" s="161">
        <f>ROUND(F262*AP262,2)</f>
        <v>0</v>
      </c>
      <c r="AY262" s="162" t="s">
        <v>204</v>
      </c>
      <c r="AZ262" s="162" t="s">
        <v>176</v>
      </c>
      <c r="BA262" s="163" t="s">
        <v>117</v>
      </c>
      <c r="BC262" s="161">
        <f>AW262+AX262</f>
        <v>0</v>
      </c>
      <c r="BD262" s="161">
        <f>G262/(100-BE262)*100</f>
        <v>0</v>
      </c>
      <c r="BE262" s="161">
        <v>0</v>
      </c>
      <c r="BF262" s="161">
        <f>L262</f>
        <v>0</v>
      </c>
      <c r="BH262" s="161">
        <f>F262*AO262</f>
        <v>0</v>
      </c>
      <c r="BI262" s="161">
        <f>F262*AP262</f>
        <v>0</v>
      </c>
      <c r="BJ262" s="161">
        <f>F262*G262</f>
        <v>0</v>
      </c>
      <c r="BK262" s="162" t="s">
        <v>116</v>
      </c>
      <c r="BL262" s="161">
        <v>766</v>
      </c>
      <c r="BW262" s="161">
        <v>21</v>
      </c>
      <c r="BX262" s="160" t="s">
        <v>203</v>
      </c>
    </row>
    <row r="263" spans="1:76" x14ac:dyDescent="0.25">
      <c r="A263" s="175" t="s">
        <v>53</v>
      </c>
      <c r="B263" s="174" t="s">
        <v>202</v>
      </c>
      <c r="C263" s="173" t="s">
        <v>201</v>
      </c>
      <c r="D263" s="172"/>
      <c r="E263" s="171" t="s">
        <v>1</v>
      </c>
      <c r="F263" s="171" t="s">
        <v>1</v>
      </c>
      <c r="G263" s="171" t="s">
        <v>1</v>
      </c>
      <c r="H263" s="169">
        <f>ROUND(SUM(H264:H272),2)</f>
        <v>0</v>
      </c>
      <c r="I263" s="169">
        <f>ROUND(SUM(I264:I272),2)</f>
        <v>0</v>
      </c>
      <c r="J263" s="169">
        <f>ROUND(SUM(J264:J272),2)</f>
        <v>0</v>
      </c>
      <c r="K263" s="163" t="s">
        <v>53</v>
      </c>
      <c r="L263" s="169">
        <f>SUM(L264:L272)</f>
        <v>5.5825016999999999</v>
      </c>
      <c r="M263" s="170" t="s">
        <v>53</v>
      </c>
      <c r="AI263" s="163" t="s">
        <v>53</v>
      </c>
      <c r="AS263" s="169">
        <f>SUM(AJ264:AJ272)</f>
        <v>0</v>
      </c>
      <c r="AT263" s="169">
        <f>SUM(AK264:AK272)</f>
        <v>0</v>
      </c>
      <c r="AU263" s="169">
        <f>SUM(AL264:AL272)</f>
        <v>0</v>
      </c>
    </row>
    <row r="264" spans="1:76" x14ac:dyDescent="0.25">
      <c r="A264" s="168" t="s">
        <v>200</v>
      </c>
      <c r="B264" s="167" t="s">
        <v>199</v>
      </c>
      <c r="C264" s="88" t="s">
        <v>198</v>
      </c>
      <c r="D264" s="87"/>
      <c r="E264" s="167" t="s">
        <v>167</v>
      </c>
      <c r="F264" s="161">
        <v>69.790000000000006</v>
      </c>
      <c r="G264" s="165">
        <v>0</v>
      </c>
      <c r="H264" s="161">
        <f>ROUND(F264*AO264,2)</f>
        <v>0</v>
      </c>
      <c r="I264" s="161">
        <f>ROUND(F264*AP264,2)</f>
        <v>0</v>
      </c>
      <c r="J264" s="161">
        <f>ROUND(F264*G264,2)</f>
        <v>0</v>
      </c>
      <c r="K264" s="161">
        <v>3.0000000000000001E-5</v>
      </c>
      <c r="L264" s="161">
        <f>F264*K264</f>
        <v>2.0937000000000004E-3</v>
      </c>
      <c r="M264" s="164" t="s">
        <v>121</v>
      </c>
      <c r="Z264" s="161">
        <f>ROUND(IF(AQ264="5",BJ264,0),2)</f>
        <v>0</v>
      </c>
      <c r="AB264" s="161">
        <f>ROUND(IF(AQ264="1",BH264,0),2)</f>
        <v>0</v>
      </c>
      <c r="AC264" s="161">
        <f>ROUND(IF(AQ264="1",BI264,0),2)</f>
        <v>0</v>
      </c>
      <c r="AD264" s="161">
        <f>ROUND(IF(AQ264="7",BH264,0),2)</f>
        <v>0</v>
      </c>
      <c r="AE264" s="161">
        <f>ROUND(IF(AQ264="7",BI264,0),2)</f>
        <v>0</v>
      </c>
      <c r="AF264" s="161">
        <f>ROUND(IF(AQ264="2",BH264,0),2)</f>
        <v>0</v>
      </c>
      <c r="AG264" s="161">
        <f>ROUND(IF(AQ264="2",BI264,0),2)</f>
        <v>0</v>
      </c>
      <c r="AH264" s="161">
        <f>ROUND(IF(AQ264="0",BJ264,0),2)</f>
        <v>0</v>
      </c>
      <c r="AI264" s="163" t="s">
        <v>53</v>
      </c>
      <c r="AJ264" s="161">
        <f>IF(AN264=0,J264,0)</f>
        <v>0</v>
      </c>
      <c r="AK264" s="161">
        <f>IF(AN264=12,J264,0)</f>
        <v>0</v>
      </c>
      <c r="AL264" s="161">
        <f>IF(AN264=21,J264,0)</f>
        <v>0</v>
      </c>
      <c r="AN264" s="161">
        <v>21</v>
      </c>
      <c r="AO264" s="161">
        <f>G264*0.217206948</f>
        <v>0</v>
      </c>
      <c r="AP264" s="161">
        <f>G264*(1-0.217206948)</f>
        <v>0</v>
      </c>
      <c r="AQ264" s="162" t="s">
        <v>166</v>
      </c>
      <c r="AV264" s="161">
        <f>ROUND(AW264+AX264,2)</f>
        <v>0</v>
      </c>
      <c r="AW264" s="161">
        <f>ROUND(F264*AO264,2)</f>
        <v>0</v>
      </c>
      <c r="AX264" s="161">
        <f>ROUND(F264*AP264,2)</f>
        <v>0</v>
      </c>
      <c r="AY264" s="162" t="s">
        <v>177</v>
      </c>
      <c r="AZ264" s="162" t="s">
        <v>176</v>
      </c>
      <c r="BA264" s="163" t="s">
        <v>117</v>
      </c>
      <c r="BC264" s="161">
        <f>AW264+AX264</f>
        <v>0</v>
      </c>
      <c r="BD264" s="161">
        <f>G264/(100-BE264)*100</f>
        <v>0</v>
      </c>
      <c r="BE264" s="161">
        <v>0</v>
      </c>
      <c r="BF264" s="161">
        <f>L264</f>
        <v>2.0937000000000004E-3</v>
      </c>
      <c r="BH264" s="161">
        <f>F264*AO264</f>
        <v>0</v>
      </c>
      <c r="BI264" s="161">
        <f>F264*AP264</f>
        <v>0</v>
      </c>
      <c r="BJ264" s="161">
        <f>F264*G264</f>
        <v>0</v>
      </c>
      <c r="BK264" s="162" t="s">
        <v>116</v>
      </c>
      <c r="BL264" s="161">
        <v>767</v>
      </c>
      <c r="BW264" s="161">
        <v>21</v>
      </c>
      <c r="BX264" s="160" t="s">
        <v>198</v>
      </c>
    </row>
    <row r="265" spans="1:76" x14ac:dyDescent="0.25">
      <c r="A265" s="179"/>
      <c r="C265" s="178" t="s">
        <v>197</v>
      </c>
      <c r="D265" s="178" t="s">
        <v>53</v>
      </c>
      <c r="F265" s="177">
        <v>0</v>
      </c>
      <c r="M265" s="176"/>
    </row>
    <row r="266" spans="1:76" x14ac:dyDescent="0.25">
      <c r="A266" s="179"/>
      <c r="C266" s="178" t="s">
        <v>196</v>
      </c>
      <c r="D266" s="178" t="s">
        <v>195</v>
      </c>
      <c r="F266" s="177">
        <v>69.790000000000006</v>
      </c>
      <c r="M266" s="176"/>
    </row>
    <row r="267" spans="1:76" x14ac:dyDescent="0.25">
      <c r="A267" s="168" t="s">
        <v>194</v>
      </c>
      <c r="B267" s="167" t="s">
        <v>193</v>
      </c>
      <c r="C267" s="180" t="s">
        <v>192</v>
      </c>
      <c r="D267" s="87"/>
      <c r="E267" s="167" t="s">
        <v>167</v>
      </c>
      <c r="F267" s="161">
        <v>108.17400000000001</v>
      </c>
      <c r="G267" s="165">
        <v>0</v>
      </c>
      <c r="H267" s="161">
        <f>ROUND(F267*AO267,2)</f>
        <v>0</v>
      </c>
      <c r="I267" s="161">
        <f>ROUND(F267*AP267,2)</f>
        <v>0</v>
      </c>
      <c r="J267" s="161">
        <f>ROUND(F267*G267,2)</f>
        <v>0</v>
      </c>
      <c r="K267" s="161">
        <v>7.0000000000000001E-3</v>
      </c>
      <c r="L267" s="161">
        <f>F267*K267</f>
        <v>0.75721800000000006</v>
      </c>
      <c r="M267" s="164" t="s">
        <v>179</v>
      </c>
      <c r="Z267" s="161">
        <f>ROUND(IF(AQ267="5",BJ267,0),2)</f>
        <v>0</v>
      </c>
      <c r="AB267" s="161">
        <f>ROUND(IF(AQ267="1",BH267,0),2)</f>
        <v>0</v>
      </c>
      <c r="AC267" s="161">
        <f>ROUND(IF(AQ267="1",BI267,0),2)</f>
        <v>0</v>
      </c>
      <c r="AD267" s="161">
        <f>ROUND(IF(AQ267="7",BH267,0),2)</f>
        <v>0</v>
      </c>
      <c r="AE267" s="161">
        <f>ROUND(IF(AQ267="7",BI267,0),2)</f>
        <v>0</v>
      </c>
      <c r="AF267" s="161">
        <f>ROUND(IF(AQ267="2",BH267,0),2)</f>
        <v>0</v>
      </c>
      <c r="AG267" s="161">
        <f>ROUND(IF(AQ267="2",BI267,0),2)</f>
        <v>0</v>
      </c>
      <c r="AH267" s="161">
        <f>ROUND(IF(AQ267="0",BJ267,0),2)</f>
        <v>0</v>
      </c>
      <c r="AI267" s="163" t="s">
        <v>53</v>
      </c>
      <c r="AJ267" s="161">
        <f>IF(AN267=0,J267,0)</f>
        <v>0</v>
      </c>
      <c r="AK267" s="161">
        <f>IF(AN267=12,J267,0)</f>
        <v>0</v>
      </c>
      <c r="AL267" s="161">
        <f>IF(AN267=21,J267,0)</f>
        <v>0</v>
      </c>
      <c r="AN267" s="161">
        <v>21</v>
      </c>
      <c r="AO267" s="161">
        <f>G267*1</f>
        <v>0</v>
      </c>
      <c r="AP267" s="161">
        <f>G267*(1-1)</f>
        <v>0</v>
      </c>
      <c r="AQ267" s="162" t="s">
        <v>178</v>
      </c>
      <c r="AV267" s="161">
        <f>ROUND(AW267+AX267,2)</f>
        <v>0</v>
      </c>
      <c r="AW267" s="161">
        <f>ROUND(F267*AO267,2)</f>
        <v>0</v>
      </c>
      <c r="AX267" s="161">
        <f>ROUND(F267*AP267,2)</f>
        <v>0</v>
      </c>
      <c r="AY267" s="162" t="s">
        <v>177</v>
      </c>
      <c r="AZ267" s="162" t="s">
        <v>176</v>
      </c>
      <c r="BA267" s="163" t="s">
        <v>117</v>
      </c>
      <c r="BC267" s="161">
        <f>AW267+AX267</f>
        <v>0</v>
      </c>
      <c r="BD267" s="161">
        <f>G267/(100-BE267)*100</f>
        <v>0</v>
      </c>
      <c r="BE267" s="161">
        <v>0</v>
      </c>
      <c r="BF267" s="161">
        <f>L267</f>
        <v>0.75721800000000006</v>
      </c>
      <c r="BH267" s="161">
        <f>F267*AO267</f>
        <v>0</v>
      </c>
      <c r="BI267" s="161">
        <f>F267*AP267</f>
        <v>0</v>
      </c>
      <c r="BJ267" s="161">
        <f>F267*G267</f>
        <v>0</v>
      </c>
      <c r="BK267" s="162" t="s">
        <v>116</v>
      </c>
      <c r="BL267" s="161">
        <v>767</v>
      </c>
      <c r="BW267" s="161">
        <v>21</v>
      </c>
      <c r="BX267" s="160" t="s">
        <v>191</v>
      </c>
    </row>
    <row r="268" spans="1:76" x14ac:dyDescent="0.25">
      <c r="A268" s="179"/>
      <c r="C268" s="178" t="s">
        <v>190</v>
      </c>
      <c r="D268" s="178" t="s">
        <v>189</v>
      </c>
      <c r="F268" s="177">
        <v>108.17400000000001</v>
      </c>
      <c r="M268" s="176"/>
    </row>
    <row r="269" spans="1:76" x14ac:dyDescent="0.25">
      <c r="A269" s="168" t="s">
        <v>188</v>
      </c>
      <c r="B269" s="167" t="s">
        <v>187</v>
      </c>
      <c r="C269" s="88" t="s">
        <v>185</v>
      </c>
      <c r="D269" s="87"/>
      <c r="E269" s="167" t="s">
        <v>186</v>
      </c>
      <c r="F269" s="161">
        <v>4644</v>
      </c>
      <c r="G269" s="165">
        <v>0</v>
      </c>
      <c r="H269" s="161">
        <f>ROUND(F269*AO269,2)</f>
        <v>0</v>
      </c>
      <c r="I269" s="161">
        <f>ROUND(F269*AP269,2)</f>
        <v>0</v>
      </c>
      <c r="J269" s="161">
        <f>ROUND(F269*G269,2)</f>
        <v>0</v>
      </c>
      <c r="K269" s="161">
        <v>1E-3</v>
      </c>
      <c r="L269" s="161">
        <f>F269*K269</f>
        <v>4.6440000000000001</v>
      </c>
      <c r="M269" s="164" t="s">
        <v>179</v>
      </c>
      <c r="Z269" s="161">
        <f>ROUND(IF(AQ269="5",BJ269,0),2)</f>
        <v>0</v>
      </c>
      <c r="AB269" s="161">
        <f>ROUND(IF(AQ269="1",BH269,0),2)</f>
        <v>0</v>
      </c>
      <c r="AC269" s="161">
        <f>ROUND(IF(AQ269="1",BI269,0),2)</f>
        <v>0</v>
      </c>
      <c r="AD269" s="161">
        <f>ROUND(IF(AQ269="7",BH269,0),2)</f>
        <v>0</v>
      </c>
      <c r="AE269" s="161">
        <f>ROUND(IF(AQ269="7",BI269,0),2)</f>
        <v>0</v>
      </c>
      <c r="AF269" s="161">
        <f>ROUND(IF(AQ269="2",BH269,0),2)</f>
        <v>0</v>
      </c>
      <c r="AG269" s="161">
        <f>ROUND(IF(AQ269="2",BI269,0),2)</f>
        <v>0</v>
      </c>
      <c r="AH269" s="161">
        <f>ROUND(IF(AQ269="0",BJ269,0),2)</f>
        <v>0</v>
      </c>
      <c r="AI269" s="163" t="s">
        <v>53</v>
      </c>
      <c r="AJ269" s="161">
        <f>IF(AN269=0,J269,0)</f>
        <v>0</v>
      </c>
      <c r="AK269" s="161">
        <f>IF(AN269=12,J269,0)</f>
        <v>0</v>
      </c>
      <c r="AL269" s="161">
        <f>IF(AN269=21,J269,0)</f>
        <v>0</v>
      </c>
      <c r="AN269" s="161">
        <v>21</v>
      </c>
      <c r="AO269" s="161">
        <f>G269*1</f>
        <v>0</v>
      </c>
      <c r="AP269" s="161">
        <f>G269*(1-1)</f>
        <v>0</v>
      </c>
      <c r="AQ269" s="162" t="s">
        <v>178</v>
      </c>
      <c r="AV269" s="161">
        <f>ROUND(AW269+AX269,2)</f>
        <v>0</v>
      </c>
      <c r="AW269" s="161">
        <f>ROUND(F269*AO269,2)</f>
        <v>0</v>
      </c>
      <c r="AX269" s="161">
        <f>ROUND(F269*AP269,2)</f>
        <v>0</v>
      </c>
      <c r="AY269" s="162" t="s">
        <v>177</v>
      </c>
      <c r="AZ269" s="162" t="s">
        <v>176</v>
      </c>
      <c r="BA269" s="163" t="s">
        <v>117</v>
      </c>
      <c r="BC269" s="161">
        <f>AW269+AX269</f>
        <v>0</v>
      </c>
      <c r="BD269" s="161">
        <f>G269/(100-BE269)*100</f>
        <v>0</v>
      </c>
      <c r="BE269" s="161">
        <v>0</v>
      </c>
      <c r="BF269" s="161">
        <f>L269</f>
        <v>4.6440000000000001</v>
      </c>
      <c r="BH269" s="161">
        <f>F269*AO269</f>
        <v>0</v>
      </c>
      <c r="BI269" s="161">
        <f>F269*AP269</f>
        <v>0</v>
      </c>
      <c r="BJ269" s="161">
        <f>F269*G269</f>
        <v>0</v>
      </c>
      <c r="BK269" s="162" t="s">
        <v>116</v>
      </c>
      <c r="BL269" s="161">
        <v>767</v>
      </c>
      <c r="BW269" s="161">
        <v>21</v>
      </c>
      <c r="BX269" s="160" t="s">
        <v>185</v>
      </c>
    </row>
    <row r="270" spans="1:76" x14ac:dyDescent="0.25">
      <c r="A270" s="179"/>
      <c r="C270" s="178" t="s">
        <v>184</v>
      </c>
      <c r="D270" s="178" t="s">
        <v>53</v>
      </c>
      <c r="F270" s="177">
        <v>0</v>
      </c>
      <c r="M270" s="176"/>
    </row>
    <row r="271" spans="1:76" x14ac:dyDescent="0.25">
      <c r="A271" s="179"/>
      <c r="C271" s="178" t="s">
        <v>183</v>
      </c>
      <c r="D271" s="178" t="s">
        <v>182</v>
      </c>
      <c r="F271" s="177">
        <v>4644</v>
      </c>
      <c r="M271" s="176"/>
    </row>
    <row r="272" spans="1:76" x14ac:dyDescent="0.25">
      <c r="A272" s="168" t="s">
        <v>181</v>
      </c>
      <c r="B272" s="167" t="s">
        <v>180</v>
      </c>
      <c r="C272" s="88" t="s">
        <v>175</v>
      </c>
      <c r="D272" s="87"/>
      <c r="E272" s="167" t="s">
        <v>167</v>
      </c>
      <c r="F272" s="161">
        <v>59.73</v>
      </c>
      <c r="G272" s="165">
        <v>0</v>
      </c>
      <c r="H272" s="161">
        <f>ROUND(F272*AO272,2)</f>
        <v>0</v>
      </c>
      <c r="I272" s="161">
        <f>ROUND(F272*AP272,2)</f>
        <v>0</v>
      </c>
      <c r="J272" s="161">
        <f>ROUND(F272*G272,2)</f>
        <v>0</v>
      </c>
      <c r="K272" s="161">
        <v>3.0000000000000001E-3</v>
      </c>
      <c r="L272" s="161">
        <f>F272*K272</f>
        <v>0.17918999999999999</v>
      </c>
      <c r="M272" s="164" t="s">
        <v>179</v>
      </c>
      <c r="Z272" s="161">
        <f>ROUND(IF(AQ272="5",BJ272,0),2)</f>
        <v>0</v>
      </c>
      <c r="AB272" s="161">
        <f>ROUND(IF(AQ272="1",BH272,0),2)</f>
        <v>0</v>
      </c>
      <c r="AC272" s="161">
        <f>ROUND(IF(AQ272="1",BI272,0),2)</f>
        <v>0</v>
      </c>
      <c r="AD272" s="161">
        <f>ROUND(IF(AQ272="7",BH272,0),2)</f>
        <v>0</v>
      </c>
      <c r="AE272" s="161">
        <f>ROUND(IF(AQ272="7",BI272,0),2)</f>
        <v>0</v>
      </c>
      <c r="AF272" s="161">
        <f>ROUND(IF(AQ272="2",BH272,0),2)</f>
        <v>0</v>
      </c>
      <c r="AG272" s="161">
        <f>ROUND(IF(AQ272="2",BI272,0),2)</f>
        <v>0</v>
      </c>
      <c r="AH272" s="161">
        <f>ROUND(IF(AQ272="0",BJ272,0),2)</f>
        <v>0</v>
      </c>
      <c r="AI272" s="163" t="s">
        <v>53</v>
      </c>
      <c r="AJ272" s="161">
        <f>IF(AN272=0,J272,0)</f>
        <v>0</v>
      </c>
      <c r="AK272" s="161">
        <f>IF(AN272=12,J272,0)</f>
        <v>0</v>
      </c>
      <c r="AL272" s="161">
        <f>IF(AN272=21,J272,0)</f>
        <v>0</v>
      </c>
      <c r="AN272" s="161">
        <v>21</v>
      </c>
      <c r="AO272" s="161">
        <f>G272*1</f>
        <v>0</v>
      </c>
      <c r="AP272" s="161">
        <f>G272*(1-1)</f>
        <v>0</v>
      </c>
      <c r="AQ272" s="162" t="s">
        <v>178</v>
      </c>
      <c r="AV272" s="161">
        <f>ROUND(AW272+AX272,2)</f>
        <v>0</v>
      </c>
      <c r="AW272" s="161">
        <f>ROUND(F272*AO272,2)</f>
        <v>0</v>
      </c>
      <c r="AX272" s="161">
        <f>ROUND(F272*AP272,2)</f>
        <v>0</v>
      </c>
      <c r="AY272" s="162" t="s">
        <v>177</v>
      </c>
      <c r="AZ272" s="162" t="s">
        <v>176</v>
      </c>
      <c r="BA272" s="163" t="s">
        <v>117</v>
      </c>
      <c r="BC272" s="161">
        <f>AW272+AX272</f>
        <v>0</v>
      </c>
      <c r="BD272" s="161">
        <f>G272/(100-BE272)*100</f>
        <v>0</v>
      </c>
      <c r="BE272" s="161">
        <v>0</v>
      </c>
      <c r="BF272" s="161">
        <f>L272</f>
        <v>0.17918999999999999</v>
      </c>
      <c r="BH272" s="161">
        <f>F272*AO272</f>
        <v>0</v>
      </c>
      <c r="BI272" s="161">
        <f>F272*AP272</f>
        <v>0</v>
      </c>
      <c r="BJ272" s="161">
        <f>F272*G272</f>
        <v>0</v>
      </c>
      <c r="BK272" s="162" t="s">
        <v>116</v>
      </c>
      <c r="BL272" s="161">
        <v>767</v>
      </c>
      <c r="BW272" s="161">
        <v>21</v>
      </c>
      <c r="BX272" s="160" t="s">
        <v>175</v>
      </c>
    </row>
    <row r="273" spans="1:76" x14ac:dyDescent="0.25">
      <c r="A273" s="179"/>
      <c r="C273" s="178" t="s">
        <v>174</v>
      </c>
      <c r="D273" s="178" t="s">
        <v>53</v>
      </c>
      <c r="F273" s="177">
        <v>0</v>
      </c>
      <c r="M273" s="176"/>
    </row>
    <row r="274" spans="1:76" x14ac:dyDescent="0.25">
      <c r="A274" s="179"/>
      <c r="C274" s="178" t="s">
        <v>173</v>
      </c>
      <c r="D274" s="178" t="s">
        <v>172</v>
      </c>
      <c r="F274" s="177">
        <v>59.73</v>
      </c>
      <c r="M274" s="176"/>
    </row>
    <row r="275" spans="1:76" x14ac:dyDescent="0.25">
      <c r="A275" s="175" t="s">
        <v>53</v>
      </c>
      <c r="B275" s="174" t="s">
        <v>171</v>
      </c>
      <c r="C275" s="173" t="s">
        <v>170</v>
      </c>
      <c r="D275" s="172"/>
      <c r="E275" s="171" t="s">
        <v>1</v>
      </c>
      <c r="F275" s="171" t="s">
        <v>1</v>
      </c>
      <c r="G275" s="171" t="s">
        <v>1</v>
      </c>
      <c r="H275" s="169">
        <f>ROUND(SUM(H276:H276),2)</f>
        <v>0</v>
      </c>
      <c r="I275" s="169">
        <f>ROUND(SUM(I276:I276),2)</f>
        <v>0</v>
      </c>
      <c r="J275" s="169">
        <f>ROUND(SUM(J276:J276),2)</f>
        <v>0</v>
      </c>
      <c r="K275" s="163" t="s">
        <v>53</v>
      </c>
      <c r="L275" s="169">
        <f>SUM(L276:L276)</f>
        <v>7.2970150000000011E-2</v>
      </c>
      <c r="M275" s="170" t="s">
        <v>53</v>
      </c>
      <c r="AI275" s="163" t="s">
        <v>53</v>
      </c>
      <c r="AS275" s="169">
        <f>SUM(AJ276:AJ276)</f>
        <v>0</v>
      </c>
      <c r="AT275" s="169">
        <f>SUM(AK276:AK276)</f>
        <v>0</v>
      </c>
      <c r="AU275" s="169">
        <f>SUM(AL276:AL276)</f>
        <v>0</v>
      </c>
    </row>
    <row r="276" spans="1:76" x14ac:dyDescent="0.25">
      <c r="A276" s="168" t="s">
        <v>169</v>
      </c>
      <c r="B276" s="167" t="s">
        <v>168</v>
      </c>
      <c r="C276" s="88" t="s">
        <v>163</v>
      </c>
      <c r="D276" s="87"/>
      <c r="E276" s="167" t="s">
        <v>167</v>
      </c>
      <c r="F276" s="161">
        <v>132.673</v>
      </c>
      <c r="G276" s="165">
        <v>0</v>
      </c>
      <c r="H276" s="161">
        <f>ROUND(F276*AO276,2)</f>
        <v>0</v>
      </c>
      <c r="I276" s="161">
        <f>ROUND(F276*AP276,2)</f>
        <v>0</v>
      </c>
      <c r="J276" s="161">
        <f>ROUND(F276*G276,2)</f>
        <v>0</v>
      </c>
      <c r="K276" s="161">
        <v>5.5000000000000003E-4</v>
      </c>
      <c r="L276" s="161">
        <f>F276*K276</f>
        <v>7.2970150000000011E-2</v>
      </c>
      <c r="M276" s="164" t="s">
        <v>121</v>
      </c>
      <c r="Z276" s="161">
        <f>ROUND(IF(AQ276="5",BJ276,0),2)</f>
        <v>0</v>
      </c>
      <c r="AB276" s="161">
        <f>ROUND(IF(AQ276="1",BH276,0),2)</f>
        <v>0</v>
      </c>
      <c r="AC276" s="161">
        <f>ROUND(IF(AQ276="1",BI276,0),2)</f>
        <v>0</v>
      </c>
      <c r="AD276" s="161">
        <f>ROUND(IF(AQ276="7",BH276,0),2)</f>
        <v>0</v>
      </c>
      <c r="AE276" s="161">
        <f>ROUND(IF(AQ276="7",BI276,0),2)</f>
        <v>0</v>
      </c>
      <c r="AF276" s="161">
        <f>ROUND(IF(AQ276="2",BH276,0),2)</f>
        <v>0</v>
      </c>
      <c r="AG276" s="161">
        <f>ROUND(IF(AQ276="2",BI276,0),2)</f>
        <v>0</v>
      </c>
      <c r="AH276" s="161">
        <f>ROUND(IF(AQ276="0",BJ276,0),2)</f>
        <v>0</v>
      </c>
      <c r="AI276" s="163" t="s">
        <v>53</v>
      </c>
      <c r="AJ276" s="161">
        <f>IF(AN276=0,J276,0)</f>
        <v>0</v>
      </c>
      <c r="AK276" s="161">
        <f>IF(AN276=12,J276,0)</f>
        <v>0</v>
      </c>
      <c r="AL276" s="161">
        <f>IF(AN276=21,J276,0)</f>
        <v>0</v>
      </c>
      <c r="AN276" s="161">
        <v>21</v>
      </c>
      <c r="AO276" s="161">
        <f>G276*0.238400899</f>
        <v>0</v>
      </c>
      <c r="AP276" s="161">
        <f>G276*(1-0.238400899)</f>
        <v>0</v>
      </c>
      <c r="AQ276" s="162" t="s">
        <v>166</v>
      </c>
      <c r="AV276" s="161">
        <f>ROUND(AW276+AX276,2)</f>
        <v>0</v>
      </c>
      <c r="AW276" s="161">
        <f>ROUND(F276*AO276,2)</f>
        <v>0</v>
      </c>
      <c r="AX276" s="161">
        <f>ROUND(F276*AP276,2)</f>
        <v>0</v>
      </c>
      <c r="AY276" s="162" t="s">
        <v>165</v>
      </c>
      <c r="AZ276" s="162" t="s">
        <v>164</v>
      </c>
      <c r="BA276" s="163" t="s">
        <v>117</v>
      </c>
      <c r="BC276" s="161">
        <f>AW276+AX276</f>
        <v>0</v>
      </c>
      <c r="BD276" s="161">
        <f>G276/(100-BE276)*100</f>
        <v>0</v>
      </c>
      <c r="BE276" s="161">
        <v>0</v>
      </c>
      <c r="BF276" s="161">
        <f>L276</f>
        <v>7.2970150000000011E-2</v>
      </c>
      <c r="BH276" s="161">
        <f>F276*AO276</f>
        <v>0</v>
      </c>
      <c r="BI276" s="161">
        <f>F276*AP276</f>
        <v>0</v>
      </c>
      <c r="BJ276" s="161">
        <f>F276*G276</f>
        <v>0</v>
      </c>
      <c r="BK276" s="162" t="s">
        <v>116</v>
      </c>
      <c r="BL276" s="161">
        <v>783</v>
      </c>
      <c r="BW276" s="161">
        <v>21</v>
      </c>
      <c r="BX276" s="160" t="s">
        <v>163</v>
      </c>
    </row>
    <row r="277" spans="1:76" x14ac:dyDescent="0.25">
      <c r="A277" s="179"/>
      <c r="C277" s="178" t="s">
        <v>162</v>
      </c>
      <c r="D277" s="178" t="s">
        <v>53</v>
      </c>
      <c r="F277" s="177">
        <v>0</v>
      </c>
      <c r="M277" s="176"/>
    </row>
    <row r="278" spans="1:76" x14ac:dyDescent="0.25">
      <c r="A278" s="179"/>
      <c r="C278" s="178" t="s">
        <v>161</v>
      </c>
      <c r="D278" s="178" t="s">
        <v>160</v>
      </c>
      <c r="F278" s="177">
        <v>12.765000000000001</v>
      </c>
      <c r="M278" s="176"/>
    </row>
    <row r="279" spans="1:76" x14ac:dyDescent="0.25">
      <c r="A279" s="179"/>
      <c r="C279" s="178" t="s">
        <v>159</v>
      </c>
      <c r="D279" s="178" t="s">
        <v>158</v>
      </c>
      <c r="F279" s="177">
        <v>36.357999999999997</v>
      </c>
      <c r="M279" s="176"/>
    </row>
    <row r="280" spans="1:76" x14ac:dyDescent="0.25">
      <c r="A280" s="179"/>
      <c r="C280" s="178" t="s">
        <v>157</v>
      </c>
      <c r="D280" s="178" t="s">
        <v>156</v>
      </c>
      <c r="F280" s="177">
        <v>3.593</v>
      </c>
      <c r="M280" s="176"/>
    </row>
    <row r="281" spans="1:76" x14ac:dyDescent="0.25">
      <c r="A281" s="179"/>
      <c r="C281" s="178" t="s">
        <v>155</v>
      </c>
      <c r="D281" s="178" t="s">
        <v>154</v>
      </c>
      <c r="F281" s="177">
        <v>3.6429999999999998</v>
      </c>
      <c r="M281" s="176"/>
    </row>
    <row r="282" spans="1:76" x14ac:dyDescent="0.25">
      <c r="A282" s="179"/>
      <c r="C282" s="178" t="s">
        <v>153</v>
      </c>
      <c r="D282" s="178" t="s">
        <v>152</v>
      </c>
      <c r="F282" s="177">
        <v>76.313999999999993</v>
      </c>
      <c r="M282" s="176"/>
    </row>
    <row r="283" spans="1:76" x14ac:dyDescent="0.25">
      <c r="A283" s="175" t="s">
        <v>53</v>
      </c>
      <c r="B283" s="174" t="s">
        <v>151</v>
      </c>
      <c r="C283" s="173" t="s">
        <v>150</v>
      </c>
      <c r="D283" s="172"/>
      <c r="E283" s="171" t="s">
        <v>1</v>
      </c>
      <c r="F283" s="171" t="s">
        <v>1</v>
      </c>
      <c r="G283" s="171" t="s">
        <v>1</v>
      </c>
      <c r="H283" s="169">
        <f>H284+H289+H296</f>
        <v>0</v>
      </c>
      <c r="I283" s="169">
        <f>I284+I289+I296</f>
        <v>0</v>
      </c>
      <c r="J283" s="169">
        <f>J284+J289+J296</f>
        <v>0</v>
      </c>
      <c r="K283" s="163" t="s">
        <v>53</v>
      </c>
      <c r="L283" s="169">
        <f>L284+L289+L296</f>
        <v>0</v>
      </c>
      <c r="M283" s="170" t="s">
        <v>53</v>
      </c>
      <c r="AI283" s="163" t="s">
        <v>53</v>
      </c>
    </row>
    <row r="284" spans="1:76" x14ac:dyDescent="0.25">
      <c r="A284" s="175" t="s">
        <v>53</v>
      </c>
      <c r="B284" s="174" t="s">
        <v>149</v>
      </c>
      <c r="C284" s="173" t="s">
        <v>148</v>
      </c>
      <c r="D284" s="172"/>
      <c r="E284" s="171" t="s">
        <v>1</v>
      </c>
      <c r="F284" s="171" t="s">
        <v>1</v>
      </c>
      <c r="G284" s="171" t="s">
        <v>1</v>
      </c>
      <c r="H284" s="169">
        <f>ROUND(SUM(H285:H287),2)</f>
        <v>0</v>
      </c>
      <c r="I284" s="169">
        <f>ROUND(SUM(I285:I287),2)</f>
        <v>0</v>
      </c>
      <c r="J284" s="169">
        <f>ROUND(SUM(J285:J287),2)</f>
        <v>0</v>
      </c>
      <c r="K284" s="163" t="s">
        <v>53</v>
      </c>
      <c r="L284" s="169">
        <f>SUM(L285:L287)</f>
        <v>0</v>
      </c>
      <c r="M284" s="170" t="s">
        <v>53</v>
      </c>
      <c r="AI284" s="163" t="s">
        <v>53</v>
      </c>
      <c r="AS284" s="169">
        <f>SUM(AJ285:AJ287)</f>
        <v>0</v>
      </c>
      <c r="AT284" s="169">
        <f>SUM(AK285:AK287)</f>
        <v>0</v>
      </c>
      <c r="AU284" s="169">
        <f>SUM(AL285:AL287)</f>
        <v>0</v>
      </c>
    </row>
    <row r="285" spans="1:76" x14ac:dyDescent="0.25">
      <c r="A285" s="168" t="s">
        <v>147</v>
      </c>
      <c r="B285" s="167" t="s">
        <v>146</v>
      </c>
      <c r="C285" s="88" t="s">
        <v>145</v>
      </c>
      <c r="D285" s="87"/>
      <c r="E285" s="166" t="s">
        <v>122</v>
      </c>
      <c r="F285" s="161">
        <v>1</v>
      </c>
      <c r="G285" s="165">
        <v>0</v>
      </c>
      <c r="H285" s="161">
        <f>ROUND(F285*AO285,2)</f>
        <v>0</v>
      </c>
      <c r="I285" s="161">
        <f>ROUND(F285*AP285,2)</f>
        <v>0</v>
      </c>
      <c r="J285" s="161">
        <f>ROUND(F285*G285,2)</f>
        <v>0</v>
      </c>
      <c r="K285" s="161">
        <v>0</v>
      </c>
      <c r="L285" s="161">
        <f>F285*K285</f>
        <v>0</v>
      </c>
      <c r="M285" s="164" t="s">
        <v>121</v>
      </c>
      <c r="Z285" s="161">
        <f>ROUND(IF(AQ285="5",BJ285,0),2)</f>
        <v>0</v>
      </c>
      <c r="AB285" s="161">
        <f>ROUND(IF(AQ285="1",BH285,0),2)</f>
        <v>0</v>
      </c>
      <c r="AC285" s="161">
        <f>ROUND(IF(AQ285="1",BI285,0),2)</f>
        <v>0</v>
      </c>
      <c r="AD285" s="161">
        <f>ROUND(IF(AQ285="7",BH285,0),2)</f>
        <v>0</v>
      </c>
      <c r="AE285" s="161">
        <f>ROUND(IF(AQ285="7",BI285,0),2)</f>
        <v>0</v>
      </c>
      <c r="AF285" s="161">
        <f>ROUND(IF(AQ285="2",BH285,0),2)</f>
        <v>0</v>
      </c>
      <c r="AG285" s="161">
        <f>ROUND(IF(AQ285="2",BI285,0),2)</f>
        <v>0</v>
      </c>
      <c r="AH285" s="161">
        <f>ROUND(IF(AQ285="0",BJ285,0),2)</f>
        <v>0</v>
      </c>
      <c r="AI285" s="163" t="s">
        <v>53</v>
      </c>
      <c r="AJ285" s="161">
        <f>IF(AN285=0,J285,0)</f>
        <v>0</v>
      </c>
      <c r="AK285" s="161">
        <f>IF(AN285=12,J285,0)</f>
        <v>0</v>
      </c>
      <c r="AL285" s="161">
        <f>IF(AN285=21,J285,0)</f>
        <v>0</v>
      </c>
      <c r="AN285" s="161">
        <v>21</v>
      </c>
      <c r="AO285" s="161">
        <f>G285*1</f>
        <v>0</v>
      </c>
      <c r="AP285" s="161">
        <f>G285*(1-1)</f>
        <v>0</v>
      </c>
      <c r="AQ285" s="162" t="s">
        <v>120</v>
      </c>
      <c r="AV285" s="161">
        <f>ROUND(AW285+AX285,2)</f>
        <v>0</v>
      </c>
      <c r="AW285" s="161">
        <f>ROUND(F285*AO285,2)</f>
        <v>0</v>
      </c>
      <c r="AX285" s="161">
        <f>ROUND(F285*AP285,2)</f>
        <v>0</v>
      </c>
      <c r="AY285" s="162" t="s">
        <v>141</v>
      </c>
      <c r="AZ285" s="162" t="s">
        <v>118</v>
      </c>
      <c r="BA285" s="163" t="s">
        <v>117</v>
      </c>
      <c r="BC285" s="161">
        <f>AW285+AX285</f>
        <v>0</v>
      </c>
      <c r="BD285" s="161">
        <f>G285/(100-BE285)*100</f>
        <v>0</v>
      </c>
      <c r="BE285" s="161">
        <v>0</v>
      </c>
      <c r="BF285" s="161">
        <f>L285</f>
        <v>0</v>
      </c>
      <c r="BH285" s="161">
        <f>F285*AO285</f>
        <v>0</v>
      </c>
      <c r="BI285" s="161">
        <f>F285*AP285</f>
        <v>0</v>
      </c>
      <c r="BJ285" s="161">
        <f>F285*G285</f>
        <v>0</v>
      </c>
      <c r="BK285" s="162" t="s">
        <v>116</v>
      </c>
      <c r="BL285" s="161"/>
      <c r="BM285" s="161">
        <f>F285*G285</f>
        <v>0</v>
      </c>
      <c r="BW285" s="161">
        <v>21</v>
      </c>
      <c r="BX285" s="160" t="s">
        <v>145</v>
      </c>
    </row>
    <row r="286" spans="1:76" x14ac:dyDescent="0.25">
      <c r="A286" s="179"/>
      <c r="C286" s="178" t="s">
        <v>114</v>
      </c>
      <c r="D286" s="178" t="s">
        <v>144</v>
      </c>
      <c r="F286" s="177">
        <v>1</v>
      </c>
      <c r="M286" s="176"/>
    </row>
    <row r="287" spans="1:76" x14ac:dyDescent="0.25">
      <c r="A287" s="168" t="s">
        <v>143</v>
      </c>
      <c r="B287" s="167" t="s">
        <v>142</v>
      </c>
      <c r="C287" s="88" t="s">
        <v>140</v>
      </c>
      <c r="D287" s="87"/>
      <c r="E287" s="166" t="s">
        <v>122</v>
      </c>
      <c r="F287" s="161">
        <v>1</v>
      </c>
      <c r="G287" s="165">
        <v>0</v>
      </c>
      <c r="H287" s="161">
        <f>ROUND(F287*AO287,2)</f>
        <v>0</v>
      </c>
      <c r="I287" s="161">
        <f>ROUND(F287*AP287,2)</f>
        <v>0</v>
      </c>
      <c r="J287" s="161">
        <f>ROUND(F287*G287,2)</f>
        <v>0</v>
      </c>
      <c r="K287" s="161">
        <v>0</v>
      </c>
      <c r="L287" s="161">
        <f>F287*K287</f>
        <v>0</v>
      </c>
      <c r="M287" s="164" t="s">
        <v>121</v>
      </c>
      <c r="Z287" s="161">
        <f>ROUND(IF(AQ287="5",BJ287,0),2)</f>
        <v>0</v>
      </c>
      <c r="AB287" s="161">
        <f>ROUND(IF(AQ287="1",BH287,0),2)</f>
        <v>0</v>
      </c>
      <c r="AC287" s="161">
        <f>ROUND(IF(AQ287="1",BI287,0),2)</f>
        <v>0</v>
      </c>
      <c r="AD287" s="161">
        <f>ROUND(IF(AQ287="7",BH287,0),2)</f>
        <v>0</v>
      </c>
      <c r="AE287" s="161">
        <f>ROUND(IF(AQ287="7",BI287,0),2)</f>
        <v>0</v>
      </c>
      <c r="AF287" s="161">
        <f>ROUND(IF(AQ287="2",BH287,0),2)</f>
        <v>0</v>
      </c>
      <c r="AG287" s="161">
        <f>ROUND(IF(AQ287="2",BI287,0),2)</f>
        <v>0</v>
      </c>
      <c r="AH287" s="161">
        <f>ROUND(IF(AQ287="0",BJ287,0),2)</f>
        <v>0</v>
      </c>
      <c r="AI287" s="163" t="s">
        <v>53</v>
      </c>
      <c r="AJ287" s="161">
        <f>IF(AN287=0,J287,0)</f>
        <v>0</v>
      </c>
      <c r="AK287" s="161">
        <f>IF(AN287=12,J287,0)</f>
        <v>0</v>
      </c>
      <c r="AL287" s="161">
        <f>IF(AN287=21,J287,0)</f>
        <v>0</v>
      </c>
      <c r="AN287" s="161">
        <v>21</v>
      </c>
      <c r="AO287" s="161">
        <f>G287*1</f>
        <v>0</v>
      </c>
      <c r="AP287" s="161">
        <f>G287*(1-1)</f>
        <v>0</v>
      </c>
      <c r="AQ287" s="162" t="s">
        <v>120</v>
      </c>
      <c r="AV287" s="161">
        <f>ROUND(AW287+AX287,2)</f>
        <v>0</v>
      </c>
      <c r="AW287" s="161">
        <f>ROUND(F287*AO287,2)</f>
        <v>0</v>
      </c>
      <c r="AX287" s="161">
        <f>ROUND(F287*AP287,2)</f>
        <v>0</v>
      </c>
      <c r="AY287" s="162" t="s">
        <v>141</v>
      </c>
      <c r="AZ287" s="162" t="s">
        <v>118</v>
      </c>
      <c r="BA287" s="163" t="s">
        <v>117</v>
      </c>
      <c r="BC287" s="161">
        <f>AW287+AX287</f>
        <v>0</v>
      </c>
      <c r="BD287" s="161">
        <f>G287/(100-BE287)*100</f>
        <v>0</v>
      </c>
      <c r="BE287" s="161">
        <v>0</v>
      </c>
      <c r="BF287" s="161">
        <f>L287</f>
        <v>0</v>
      </c>
      <c r="BH287" s="161">
        <f>F287*AO287</f>
        <v>0</v>
      </c>
      <c r="BI287" s="161">
        <f>F287*AP287</f>
        <v>0</v>
      </c>
      <c r="BJ287" s="161">
        <f>F287*G287</f>
        <v>0</v>
      </c>
      <c r="BK287" s="162" t="s">
        <v>116</v>
      </c>
      <c r="BL287" s="161"/>
      <c r="BM287" s="161">
        <f>F287*G287</f>
        <v>0</v>
      </c>
      <c r="BW287" s="161">
        <v>21</v>
      </c>
      <c r="BX287" s="160" t="s">
        <v>140</v>
      </c>
    </row>
    <row r="288" spans="1:76" x14ac:dyDescent="0.25">
      <c r="A288" s="179"/>
      <c r="C288" s="178" t="s">
        <v>114</v>
      </c>
      <c r="D288" s="178" t="s">
        <v>139</v>
      </c>
      <c r="F288" s="177">
        <v>1</v>
      </c>
      <c r="M288" s="176"/>
    </row>
    <row r="289" spans="1:76" x14ac:dyDescent="0.25">
      <c r="A289" s="175" t="s">
        <v>53</v>
      </c>
      <c r="B289" s="174" t="s">
        <v>138</v>
      </c>
      <c r="C289" s="173" t="s">
        <v>86</v>
      </c>
      <c r="D289" s="172"/>
      <c r="E289" s="171" t="s">
        <v>1</v>
      </c>
      <c r="F289" s="171" t="s">
        <v>1</v>
      </c>
      <c r="G289" s="171" t="s">
        <v>1</v>
      </c>
      <c r="H289" s="169">
        <f>ROUND(SUM(H290:H294),2)</f>
        <v>0</v>
      </c>
      <c r="I289" s="169">
        <f>ROUND(SUM(I290:I294),2)</f>
        <v>0</v>
      </c>
      <c r="J289" s="169">
        <f>ROUND(SUM(J290:J294),2)</f>
        <v>0</v>
      </c>
      <c r="K289" s="163" t="s">
        <v>53</v>
      </c>
      <c r="L289" s="169">
        <f>SUM(L290:L294)</f>
        <v>0</v>
      </c>
      <c r="M289" s="170" t="s">
        <v>53</v>
      </c>
      <c r="AI289" s="163" t="s">
        <v>53</v>
      </c>
      <c r="AS289" s="169">
        <f>SUM(AJ290:AJ294)</f>
        <v>0</v>
      </c>
      <c r="AT289" s="169">
        <f>SUM(AK290:AK294)</f>
        <v>0</v>
      </c>
      <c r="AU289" s="169">
        <f>SUM(AL290:AL294)</f>
        <v>0</v>
      </c>
    </row>
    <row r="290" spans="1:76" x14ac:dyDescent="0.25">
      <c r="A290" s="168" t="s">
        <v>137</v>
      </c>
      <c r="B290" s="167" t="s">
        <v>136</v>
      </c>
      <c r="C290" s="88" t="s">
        <v>86</v>
      </c>
      <c r="D290" s="87"/>
      <c r="E290" s="166" t="s">
        <v>122</v>
      </c>
      <c r="F290" s="161">
        <v>1</v>
      </c>
      <c r="G290" s="165">
        <v>0</v>
      </c>
      <c r="H290" s="161">
        <f>ROUND(F290*AO290,2)</f>
        <v>0</v>
      </c>
      <c r="I290" s="161">
        <f>ROUND(F290*AP290,2)</f>
        <v>0</v>
      </c>
      <c r="J290" s="161">
        <f>ROUND(F290*G290,2)</f>
        <v>0</v>
      </c>
      <c r="K290" s="161">
        <v>0</v>
      </c>
      <c r="L290" s="161">
        <f>F290*K290</f>
        <v>0</v>
      </c>
      <c r="M290" s="164" t="s">
        <v>121</v>
      </c>
      <c r="Z290" s="161">
        <f>ROUND(IF(AQ290="5",BJ290,0),2)</f>
        <v>0</v>
      </c>
      <c r="AB290" s="161">
        <f>ROUND(IF(AQ290="1",BH290,0),2)</f>
        <v>0</v>
      </c>
      <c r="AC290" s="161">
        <f>ROUND(IF(AQ290="1",BI290,0),2)</f>
        <v>0</v>
      </c>
      <c r="AD290" s="161">
        <f>ROUND(IF(AQ290="7",BH290,0),2)</f>
        <v>0</v>
      </c>
      <c r="AE290" s="161">
        <f>ROUND(IF(AQ290="7",BI290,0),2)</f>
        <v>0</v>
      </c>
      <c r="AF290" s="161">
        <f>ROUND(IF(AQ290="2",BH290,0),2)</f>
        <v>0</v>
      </c>
      <c r="AG290" s="161">
        <f>ROUND(IF(AQ290="2",BI290,0),2)</f>
        <v>0</v>
      </c>
      <c r="AH290" s="161">
        <f>ROUND(IF(AQ290="0",BJ290,0),2)</f>
        <v>0</v>
      </c>
      <c r="AI290" s="163" t="s">
        <v>53</v>
      </c>
      <c r="AJ290" s="161">
        <f>IF(AN290=0,J290,0)</f>
        <v>0</v>
      </c>
      <c r="AK290" s="161">
        <f>IF(AN290=12,J290,0)</f>
        <v>0</v>
      </c>
      <c r="AL290" s="161">
        <f>IF(AN290=21,J290,0)</f>
        <v>0</v>
      </c>
      <c r="AN290" s="161">
        <v>21</v>
      </c>
      <c r="AO290" s="161">
        <f>G290*1</f>
        <v>0</v>
      </c>
      <c r="AP290" s="161">
        <f>G290*(1-1)</f>
        <v>0</v>
      </c>
      <c r="AQ290" s="162" t="s">
        <v>120</v>
      </c>
      <c r="AV290" s="161">
        <f>ROUND(AW290+AX290,2)</f>
        <v>0</v>
      </c>
      <c r="AW290" s="161">
        <f>ROUND(F290*AO290,2)</f>
        <v>0</v>
      </c>
      <c r="AX290" s="161">
        <f>ROUND(F290*AP290,2)</f>
        <v>0</v>
      </c>
      <c r="AY290" s="162" t="s">
        <v>128</v>
      </c>
      <c r="AZ290" s="162" t="s">
        <v>118</v>
      </c>
      <c r="BA290" s="163" t="s">
        <v>117</v>
      </c>
      <c r="BC290" s="161">
        <f>AW290+AX290</f>
        <v>0</v>
      </c>
      <c r="BD290" s="161">
        <f>G290/(100-BE290)*100</f>
        <v>0</v>
      </c>
      <c r="BE290" s="161">
        <v>0</v>
      </c>
      <c r="BF290" s="161">
        <f>L290</f>
        <v>0</v>
      </c>
      <c r="BH290" s="161">
        <f>F290*AO290</f>
        <v>0</v>
      </c>
      <c r="BI290" s="161">
        <f>F290*AP290</f>
        <v>0</v>
      </c>
      <c r="BJ290" s="161">
        <f>F290*G290</f>
        <v>0</v>
      </c>
      <c r="BK290" s="162" t="s">
        <v>116</v>
      </c>
      <c r="BL290" s="161"/>
      <c r="BO290" s="161">
        <f>F290*G290</f>
        <v>0</v>
      </c>
      <c r="BW290" s="161">
        <v>21</v>
      </c>
      <c r="BX290" s="160" t="s">
        <v>86</v>
      </c>
    </row>
    <row r="291" spans="1:76" x14ac:dyDescent="0.25">
      <c r="A291" s="179"/>
      <c r="C291" s="178" t="s">
        <v>114</v>
      </c>
      <c r="D291" s="178" t="s">
        <v>135</v>
      </c>
      <c r="F291" s="177">
        <v>1</v>
      </c>
      <c r="M291" s="176"/>
    </row>
    <row r="292" spans="1:76" x14ac:dyDescent="0.25">
      <c r="A292" s="168" t="s">
        <v>134</v>
      </c>
      <c r="B292" s="167" t="s">
        <v>133</v>
      </c>
      <c r="C292" s="88" t="s">
        <v>132</v>
      </c>
      <c r="D292" s="87"/>
      <c r="E292" s="166" t="s">
        <v>122</v>
      </c>
      <c r="F292" s="161">
        <v>1</v>
      </c>
      <c r="G292" s="165">
        <v>0</v>
      </c>
      <c r="H292" s="161">
        <f>ROUND(F292*AO292,2)</f>
        <v>0</v>
      </c>
      <c r="I292" s="161">
        <f>ROUND(F292*AP292,2)</f>
        <v>0</v>
      </c>
      <c r="J292" s="161">
        <f>ROUND(F292*G292,2)</f>
        <v>0</v>
      </c>
      <c r="K292" s="161">
        <v>0</v>
      </c>
      <c r="L292" s="161">
        <f>F292*K292</f>
        <v>0</v>
      </c>
      <c r="M292" s="164" t="s">
        <v>121</v>
      </c>
      <c r="Z292" s="161">
        <f>ROUND(IF(AQ292="5",BJ292,0),2)</f>
        <v>0</v>
      </c>
      <c r="AB292" s="161">
        <f>ROUND(IF(AQ292="1",BH292,0),2)</f>
        <v>0</v>
      </c>
      <c r="AC292" s="161">
        <f>ROUND(IF(AQ292="1",BI292,0),2)</f>
        <v>0</v>
      </c>
      <c r="AD292" s="161">
        <f>ROUND(IF(AQ292="7",BH292,0),2)</f>
        <v>0</v>
      </c>
      <c r="AE292" s="161">
        <f>ROUND(IF(AQ292="7",BI292,0),2)</f>
        <v>0</v>
      </c>
      <c r="AF292" s="161">
        <f>ROUND(IF(AQ292="2",BH292,0),2)</f>
        <v>0</v>
      </c>
      <c r="AG292" s="161">
        <f>ROUND(IF(AQ292="2",BI292,0),2)</f>
        <v>0</v>
      </c>
      <c r="AH292" s="161">
        <f>ROUND(IF(AQ292="0",BJ292,0),2)</f>
        <v>0</v>
      </c>
      <c r="AI292" s="163" t="s">
        <v>53</v>
      </c>
      <c r="AJ292" s="161">
        <f>IF(AN292=0,J292,0)</f>
        <v>0</v>
      </c>
      <c r="AK292" s="161">
        <f>IF(AN292=12,J292,0)</f>
        <v>0</v>
      </c>
      <c r="AL292" s="161">
        <f>IF(AN292=21,J292,0)</f>
        <v>0</v>
      </c>
      <c r="AN292" s="161">
        <v>21</v>
      </c>
      <c r="AO292" s="161">
        <f>G292*1</f>
        <v>0</v>
      </c>
      <c r="AP292" s="161">
        <f>G292*(1-1)</f>
        <v>0</v>
      </c>
      <c r="AQ292" s="162" t="s">
        <v>120</v>
      </c>
      <c r="AV292" s="161">
        <f>ROUND(AW292+AX292,2)</f>
        <v>0</v>
      </c>
      <c r="AW292" s="161">
        <f>ROUND(F292*AO292,2)</f>
        <v>0</v>
      </c>
      <c r="AX292" s="161">
        <f>ROUND(F292*AP292,2)</f>
        <v>0</v>
      </c>
      <c r="AY292" s="162" t="s">
        <v>128</v>
      </c>
      <c r="AZ292" s="162" t="s">
        <v>118</v>
      </c>
      <c r="BA292" s="163" t="s">
        <v>117</v>
      </c>
      <c r="BC292" s="161">
        <f>AW292+AX292</f>
        <v>0</v>
      </c>
      <c r="BD292" s="161">
        <f>G292/(100-BE292)*100</f>
        <v>0</v>
      </c>
      <c r="BE292" s="161">
        <v>0</v>
      </c>
      <c r="BF292" s="161">
        <f>L292</f>
        <v>0</v>
      </c>
      <c r="BH292" s="161">
        <f>F292*AO292</f>
        <v>0</v>
      </c>
      <c r="BI292" s="161">
        <f>F292*AP292</f>
        <v>0</v>
      </c>
      <c r="BJ292" s="161">
        <f>F292*G292</f>
        <v>0</v>
      </c>
      <c r="BK292" s="162" t="s">
        <v>116</v>
      </c>
      <c r="BL292" s="161"/>
      <c r="BO292" s="161">
        <f>F292*G292</f>
        <v>0</v>
      </c>
      <c r="BW292" s="161">
        <v>21</v>
      </c>
      <c r="BX292" s="160" t="s">
        <v>132</v>
      </c>
    </row>
    <row r="293" spans="1:76" x14ac:dyDescent="0.25">
      <c r="A293" s="179"/>
      <c r="C293" s="178" t="s">
        <v>114</v>
      </c>
      <c r="D293" s="178" t="s">
        <v>131</v>
      </c>
      <c r="F293" s="177">
        <v>1</v>
      </c>
      <c r="M293" s="176"/>
    </row>
    <row r="294" spans="1:76" x14ac:dyDescent="0.25">
      <c r="A294" s="168" t="s">
        <v>130</v>
      </c>
      <c r="B294" s="167" t="s">
        <v>129</v>
      </c>
      <c r="C294" s="88" t="s">
        <v>127</v>
      </c>
      <c r="D294" s="87"/>
      <c r="E294" s="166" t="s">
        <v>122</v>
      </c>
      <c r="F294" s="161">
        <v>1</v>
      </c>
      <c r="G294" s="165">
        <v>0</v>
      </c>
      <c r="H294" s="161">
        <f>ROUND(F294*AO294,2)</f>
        <v>0</v>
      </c>
      <c r="I294" s="161">
        <f>ROUND(F294*AP294,2)</f>
        <v>0</v>
      </c>
      <c r="J294" s="161">
        <f>ROUND(F294*G294,2)</f>
        <v>0</v>
      </c>
      <c r="K294" s="161">
        <v>0</v>
      </c>
      <c r="L294" s="161">
        <f>F294*K294</f>
        <v>0</v>
      </c>
      <c r="M294" s="164" t="s">
        <v>121</v>
      </c>
      <c r="Z294" s="161">
        <f>ROUND(IF(AQ294="5",BJ294,0),2)</f>
        <v>0</v>
      </c>
      <c r="AB294" s="161">
        <f>ROUND(IF(AQ294="1",BH294,0),2)</f>
        <v>0</v>
      </c>
      <c r="AC294" s="161">
        <f>ROUND(IF(AQ294="1",BI294,0),2)</f>
        <v>0</v>
      </c>
      <c r="AD294" s="161">
        <f>ROUND(IF(AQ294="7",BH294,0),2)</f>
        <v>0</v>
      </c>
      <c r="AE294" s="161">
        <f>ROUND(IF(AQ294="7",BI294,0),2)</f>
        <v>0</v>
      </c>
      <c r="AF294" s="161">
        <f>ROUND(IF(AQ294="2",BH294,0),2)</f>
        <v>0</v>
      </c>
      <c r="AG294" s="161">
        <f>ROUND(IF(AQ294="2",BI294,0),2)</f>
        <v>0</v>
      </c>
      <c r="AH294" s="161">
        <f>ROUND(IF(AQ294="0",BJ294,0),2)</f>
        <v>0</v>
      </c>
      <c r="AI294" s="163" t="s">
        <v>53</v>
      </c>
      <c r="AJ294" s="161">
        <f>IF(AN294=0,J294,0)</f>
        <v>0</v>
      </c>
      <c r="AK294" s="161">
        <f>IF(AN294=12,J294,0)</f>
        <v>0</v>
      </c>
      <c r="AL294" s="161">
        <f>IF(AN294=21,J294,0)</f>
        <v>0</v>
      </c>
      <c r="AN294" s="161">
        <v>21</v>
      </c>
      <c r="AO294" s="161">
        <f>G294*1</f>
        <v>0</v>
      </c>
      <c r="AP294" s="161">
        <f>G294*(1-1)</f>
        <v>0</v>
      </c>
      <c r="AQ294" s="162" t="s">
        <v>120</v>
      </c>
      <c r="AV294" s="161">
        <f>ROUND(AW294+AX294,2)</f>
        <v>0</v>
      </c>
      <c r="AW294" s="161">
        <f>ROUND(F294*AO294,2)</f>
        <v>0</v>
      </c>
      <c r="AX294" s="161">
        <f>ROUND(F294*AP294,2)</f>
        <v>0</v>
      </c>
      <c r="AY294" s="162" t="s">
        <v>128</v>
      </c>
      <c r="AZ294" s="162" t="s">
        <v>118</v>
      </c>
      <c r="BA294" s="163" t="s">
        <v>117</v>
      </c>
      <c r="BC294" s="161">
        <f>AW294+AX294</f>
        <v>0</v>
      </c>
      <c r="BD294" s="161">
        <f>G294/(100-BE294)*100</f>
        <v>0</v>
      </c>
      <c r="BE294" s="161">
        <v>0</v>
      </c>
      <c r="BF294" s="161">
        <f>L294</f>
        <v>0</v>
      </c>
      <c r="BH294" s="161">
        <f>F294*AO294</f>
        <v>0</v>
      </c>
      <c r="BI294" s="161">
        <f>F294*AP294</f>
        <v>0</v>
      </c>
      <c r="BJ294" s="161">
        <f>F294*G294</f>
        <v>0</v>
      </c>
      <c r="BK294" s="162" t="s">
        <v>116</v>
      </c>
      <c r="BL294" s="161"/>
      <c r="BO294" s="161">
        <f>F294*G294</f>
        <v>0</v>
      </c>
      <c r="BW294" s="161">
        <v>21</v>
      </c>
      <c r="BX294" s="160" t="s">
        <v>127</v>
      </c>
    </row>
    <row r="295" spans="1:76" x14ac:dyDescent="0.25">
      <c r="A295" s="179"/>
      <c r="C295" s="178" t="s">
        <v>114</v>
      </c>
      <c r="D295" s="178" t="s">
        <v>126</v>
      </c>
      <c r="F295" s="177">
        <v>1</v>
      </c>
      <c r="M295" s="176"/>
    </row>
    <row r="296" spans="1:76" x14ac:dyDescent="0.25">
      <c r="A296" s="175" t="s">
        <v>53</v>
      </c>
      <c r="B296" s="174" t="s">
        <v>125</v>
      </c>
      <c r="C296" s="173" t="s">
        <v>80</v>
      </c>
      <c r="D296" s="172"/>
      <c r="E296" s="171" t="s">
        <v>1</v>
      </c>
      <c r="F296" s="171" t="s">
        <v>1</v>
      </c>
      <c r="G296" s="171" t="s">
        <v>1</v>
      </c>
      <c r="H296" s="169">
        <f>ROUND(SUM(H297:H297),2)</f>
        <v>0</v>
      </c>
      <c r="I296" s="169">
        <f>ROUND(SUM(I297:I297),2)</f>
        <v>0</v>
      </c>
      <c r="J296" s="169">
        <f>ROUND(SUM(J297:J297),2)</f>
        <v>0</v>
      </c>
      <c r="K296" s="163" t="s">
        <v>53</v>
      </c>
      <c r="L296" s="169">
        <f>SUM(L297:L297)</f>
        <v>0</v>
      </c>
      <c r="M296" s="170" t="s">
        <v>53</v>
      </c>
      <c r="AI296" s="163" t="s">
        <v>53</v>
      </c>
      <c r="AS296" s="169">
        <f>SUM(AJ297:AJ297)</f>
        <v>0</v>
      </c>
      <c r="AT296" s="169">
        <f>SUM(AK297:AK297)</f>
        <v>0</v>
      </c>
      <c r="AU296" s="169">
        <f>SUM(AL297:AL297)</f>
        <v>0</v>
      </c>
    </row>
    <row r="297" spans="1:76" x14ac:dyDescent="0.25">
      <c r="A297" s="168" t="s">
        <v>124</v>
      </c>
      <c r="B297" s="167" t="s">
        <v>123</v>
      </c>
      <c r="C297" s="88" t="s">
        <v>115</v>
      </c>
      <c r="D297" s="87"/>
      <c r="E297" s="166" t="s">
        <v>122</v>
      </c>
      <c r="F297" s="161">
        <v>1</v>
      </c>
      <c r="G297" s="165">
        <v>0</v>
      </c>
      <c r="H297" s="161">
        <f>ROUND(F297*AO297,2)</f>
        <v>0</v>
      </c>
      <c r="I297" s="161">
        <f>ROUND(F297*AP297,2)</f>
        <v>0</v>
      </c>
      <c r="J297" s="161">
        <f>ROUND(F297*G297,2)</f>
        <v>0</v>
      </c>
      <c r="K297" s="161">
        <v>0</v>
      </c>
      <c r="L297" s="161">
        <f>F297*K297</f>
        <v>0</v>
      </c>
      <c r="M297" s="164" t="s">
        <v>121</v>
      </c>
      <c r="Z297" s="161">
        <f>ROUND(IF(AQ297="5",BJ297,0),2)</f>
        <v>0</v>
      </c>
      <c r="AB297" s="161">
        <f>ROUND(IF(AQ297="1",BH297,0),2)</f>
        <v>0</v>
      </c>
      <c r="AC297" s="161">
        <f>ROUND(IF(AQ297="1",BI297,0),2)</f>
        <v>0</v>
      </c>
      <c r="AD297" s="161">
        <f>ROUND(IF(AQ297="7",BH297,0),2)</f>
        <v>0</v>
      </c>
      <c r="AE297" s="161">
        <f>ROUND(IF(AQ297="7",BI297,0),2)</f>
        <v>0</v>
      </c>
      <c r="AF297" s="161">
        <f>ROUND(IF(AQ297="2",BH297,0),2)</f>
        <v>0</v>
      </c>
      <c r="AG297" s="161">
        <f>ROUND(IF(AQ297="2",BI297,0),2)</f>
        <v>0</v>
      </c>
      <c r="AH297" s="161">
        <f>ROUND(IF(AQ297="0",BJ297,0),2)</f>
        <v>0</v>
      </c>
      <c r="AI297" s="163" t="s">
        <v>53</v>
      </c>
      <c r="AJ297" s="161">
        <f>IF(AN297=0,J297,0)</f>
        <v>0</v>
      </c>
      <c r="AK297" s="161">
        <f>IF(AN297=12,J297,0)</f>
        <v>0</v>
      </c>
      <c r="AL297" s="161">
        <f>IF(AN297=21,J297,0)</f>
        <v>0</v>
      </c>
      <c r="AN297" s="161">
        <v>21</v>
      </c>
      <c r="AO297" s="161">
        <f>G297*1</f>
        <v>0</v>
      </c>
      <c r="AP297" s="161">
        <f>G297*(1-1)</f>
        <v>0</v>
      </c>
      <c r="AQ297" s="162" t="s">
        <v>120</v>
      </c>
      <c r="AV297" s="161">
        <f>ROUND(AW297+AX297,2)</f>
        <v>0</v>
      </c>
      <c r="AW297" s="161">
        <f>ROUND(F297*AO297,2)</f>
        <v>0</v>
      </c>
      <c r="AX297" s="161">
        <f>ROUND(F297*AP297,2)</f>
        <v>0</v>
      </c>
      <c r="AY297" s="162" t="s">
        <v>119</v>
      </c>
      <c r="AZ297" s="162" t="s">
        <v>118</v>
      </c>
      <c r="BA297" s="163" t="s">
        <v>117</v>
      </c>
      <c r="BC297" s="161">
        <f>AW297+AX297</f>
        <v>0</v>
      </c>
      <c r="BD297" s="161">
        <f>G297/(100-BE297)*100</f>
        <v>0</v>
      </c>
      <c r="BE297" s="161">
        <v>0</v>
      </c>
      <c r="BF297" s="161">
        <f>L297</f>
        <v>0</v>
      </c>
      <c r="BH297" s="161">
        <f>F297*AO297</f>
        <v>0</v>
      </c>
      <c r="BI297" s="161">
        <f>F297*AP297</f>
        <v>0</v>
      </c>
      <c r="BJ297" s="161">
        <f>F297*G297</f>
        <v>0</v>
      </c>
      <c r="BK297" s="162" t="s">
        <v>116</v>
      </c>
      <c r="BL297" s="161"/>
      <c r="BS297" s="161">
        <f>F297*G297</f>
        <v>0</v>
      </c>
      <c r="BW297" s="161">
        <v>21</v>
      </c>
      <c r="BX297" s="160" t="s">
        <v>115</v>
      </c>
    </row>
    <row r="298" spans="1:76" x14ac:dyDescent="0.25">
      <c r="A298" s="159"/>
      <c r="B298" s="156"/>
      <c r="C298" s="158" t="s">
        <v>114</v>
      </c>
      <c r="D298" s="158" t="s">
        <v>113</v>
      </c>
      <c r="E298" s="156"/>
      <c r="F298" s="157">
        <v>1</v>
      </c>
      <c r="G298" s="156"/>
      <c r="H298" s="156"/>
      <c r="I298" s="156"/>
      <c r="J298" s="156"/>
      <c r="K298" s="156"/>
      <c r="L298" s="156"/>
      <c r="M298" s="155"/>
    </row>
    <row r="299" spans="1:76" x14ac:dyDescent="0.25">
      <c r="H299" s="140" t="s">
        <v>112</v>
      </c>
      <c r="I299" s="140"/>
      <c r="J299" s="154">
        <f>ROUND(SUM(J12,J19,J51,J55,J62,J115,J125,J128,J131,J150,J152,J172,J198,J204,J257,J263,J275,J284,J289,J296),2)</f>
        <v>0</v>
      </c>
    </row>
    <row r="300" spans="1:76" x14ac:dyDescent="0.25">
      <c r="A300" s="89" t="s">
        <v>54</v>
      </c>
    </row>
    <row r="301" spans="1:76" ht="12.75" customHeight="1" x14ac:dyDescent="0.25">
      <c r="A301" s="88" t="s">
        <v>53</v>
      </c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</row>
  </sheetData>
  <mergeCells count="154">
    <mergeCell ref="C283:D283"/>
    <mergeCell ref="C284:D284"/>
    <mergeCell ref="C285:D285"/>
    <mergeCell ref="C287:D287"/>
    <mergeCell ref="C289:D289"/>
    <mergeCell ref="H299:I299"/>
    <mergeCell ref="A301:M301"/>
    <mergeCell ref="C290:D290"/>
    <mergeCell ref="C292:D292"/>
    <mergeCell ref="C294:D294"/>
    <mergeCell ref="C296:D296"/>
    <mergeCell ref="C297:D297"/>
    <mergeCell ref="C276:D276"/>
    <mergeCell ref="C258:D258"/>
    <mergeCell ref="C260:D260"/>
    <mergeCell ref="C262:D262"/>
    <mergeCell ref="C263:D263"/>
    <mergeCell ref="C264:D264"/>
    <mergeCell ref="C241:D241"/>
    <mergeCell ref="C244:D244"/>
    <mergeCell ref="C267:D267"/>
    <mergeCell ref="C269:D269"/>
    <mergeCell ref="C272:D272"/>
    <mergeCell ref="C275:D275"/>
    <mergeCell ref="C211:D211"/>
    <mergeCell ref="C243:D243"/>
    <mergeCell ref="C247:D247"/>
    <mergeCell ref="C250:D250"/>
    <mergeCell ref="C256:D256"/>
    <mergeCell ref="C257:D257"/>
    <mergeCell ref="C228:D228"/>
    <mergeCell ref="C231:D231"/>
    <mergeCell ref="C234:D234"/>
    <mergeCell ref="C239:D239"/>
    <mergeCell ref="C195:D195"/>
    <mergeCell ref="C213:D213"/>
    <mergeCell ref="C218:D218"/>
    <mergeCell ref="C220:D220"/>
    <mergeCell ref="C222:D222"/>
    <mergeCell ref="C225:D225"/>
    <mergeCell ref="C204:D204"/>
    <mergeCell ref="C205:D205"/>
    <mergeCell ref="C207:D207"/>
    <mergeCell ref="C209:D209"/>
    <mergeCell ref="C175:D175"/>
    <mergeCell ref="C197:D197"/>
    <mergeCell ref="C198:D198"/>
    <mergeCell ref="C199:D199"/>
    <mergeCell ref="C201:D201"/>
    <mergeCell ref="C203:D203"/>
    <mergeCell ref="C187:D187"/>
    <mergeCell ref="C189:D189"/>
    <mergeCell ref="C191:D191"/>
    <mergeCell ref="C193:D193"/>
    <mergeCell ref="C155:D155"/>
    <mergeCell ref="C177:D177"/>
    <mergeCell ref="C179:D179"/>
    <mergeCell ref="C181:D181"/>
    <mergeCell ref="C183:D183"/>
    <mergeCell ref="C185:D185"/>
    <mergeCell ref="C168:D168"/>
    <mergeCell ref="C171:D171"/>
    <mergeCell ref="C172:D172"/>
    <mergeCell ref="C173:D173"/>
    <mergeCell ref="C137:D137"/>
    <mergeCell ref="C157:D157"/>
    <mergeCell ref="C160:D160"/>
    <mergeCell ref="C162:D162"/>
    <mergeCell ref="C164:D164"/>
    <mergeCell ref="C166:D166"/>
    <mergeCell ref="C150:D150"/>
    <mergeCell ref="C151:D151"/>
    <mergeCell ref="C152:D152"/>
    <mergeCell ref="C153:D153"/>
    <mergeCell ref="C118:D118"/>
    <mergeCell ref="C140:D140"/>
    <mergeCell ref="C142:D142"/>
    <mergeCell ref="C144:D144"/>
    <mergeCell ref="C146:D146"/>
    <mergeCell ref="C148:D148"/>
    <mergeCell ref="C129:D129"/>
    <mergeCell ref="C131:D131"/>
    <mergeCell ref="C132:D132"/>
    <mergeCell ref="C134:D134"/>
    <mergeCell ref="C88:M88"/>
    <mergeCell ref="C120:D120"/>
    <mergeCell ref="C123:D123"/>
    <mergeCell ref="C125:D125"/>
    <mergeCell ref="C126:D126"/>
    <mergeCell ref="C128:D128"/>
    <mergeCell ref="C111:D111"/>
    <mergeCell ref="C113:D113"/>
    <mergeCell ref="C115:D115"/>
    <mergeCell ref="C116:D116"/>
    <mergeCell ref="C62:D62"/>
    <mergeCell ref="C90:D90"/>
    <mergeCell ref="C95:D95"/>
    <mergeCell ref="C96:M96"/>
    <mergeCell ref="C101:D101"/>
    <mergeCell ref="C106:D106"/>
    <mergeCell ref="C77:M77"/>
    <mergeCell ref="C81:D81"/>
    <mergeCell ref="C83:D83"/>
    <mergeCell ref="C87:D87"/>
    <mergeCell ref="C28:D28"/>
    <mergeCell ref="C63:D63"/>
    <mergeCell ref="C64:M64"/>
    <mergeCell ref="C68:D68"/>
    <mergeCell ref="C72:D72"/>
    <mergeCell ref="C76:D76"/>
    <mergeCell ref="C51:D51"/>
    <mergeCell ref="C52:D52"/>
    <mergeCell ref="C55:D55"/>
    <mergeCell ref="C56:D56"/>
    <mergeCell ref="G8:G9"/>
    <mergeCell ref="C31:D31"/>
    <mergeCell ref="C34:D34"/>
    <mergeCell ref="C36:D36"/>
    <mergeCell ref="C43:D43"/>
    <mergeCell ref="C44:D44"/>
    <mergeCell ref="C16:D16"/>
    <mergeCell ref="C19:D19"/>
    <mergeCell ref="C20:D20"/>
    <mergeCell ref="C24:D24"/>
    <mergeCell ref="C11:D11"/>
    <mergeCell ref="H10:J10"/>
    <mergeCell ref="K10:L10"/>
    <mergeCell ref="C12:D12"/>
    <mergeCell ref="C13:D13"/>
    <mergeCell ref="I2:M3"/>
    <mergeCell ref="I4:M5"/>
    <mergeCell ref="I6:M7"/>
    <mergeCell ref="I8:M9"/>
    <mergeCell ref="C10:D10"/>
    <mergeCell ref="H4:H5"/>
    <mergeCell ref="H6:H7"/>
    <mergeCell ref="H8:H9"/>
    <mergeCell ref="C2:D3"/>
    <mergeCell ref="C4:D5"/>
    <mergeCell ref="C6:D7"/>
    <mergeCell ref="C8:D9"/>
    <mergeCell ref="G2:G3"/>
    <mergeCell ref="G4:G5"/>
    <mergeCell ref="G6:G7"/>
    <mergeCell ref="A1:M1"/>
    <mergeCell ref="A2:B3"/>
    <mergeCell ref="A4:B5"/>
    <mergeCell ref="A6:B7"/>
    <mergeCell ref="A8:B9"/>
    <mergeCell ref="E2:F3"/>
    <mergeCell ref="E4:F5"/>
    <mergeCell ref="E6:F7"/>
    <mergeCell ref="E8:F9"/>
    <mergeCell ref="H2:H3"/>
  </mergeCells>
  <pageMargins left="0.393999993801117" right="0.393999993801117" top="0.59100002050399802" bottom="0.59100002050399802" header="0" footer="0"/>
  <pageSetup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E9205-2A56-4163-976B-ADB84543D930}">
  <dimension ref="A1:C33"/>
  <sheetViews>
    <sheetView zoomScaleNormal="100" workbookViewId="0">
      <selection activeCell="B37" sqref="B37"/>
    </sheetView>
  </sheetViews>
  <sheetFormatPr defaultRowHeight="15" x14ac:dyDescent="0.25"/>
  <cols>
    <col min="1" max="1" width="34.140625" style="211" bestFit="1" customWidth="1"/>
    <col min="2" max="2" width="76.28515625" style="211" bestFit="1" customWidth="1"/>
    <col min="3" max="3" width="9.140625" style="210"/>
    <col min="4" max="4" width="0" style="210" hidden="1" customWidth="1"/>
    <col min="5" max="16384" width="9.140625" style="210"/>
  </cols>
  <sheetData>
    <row r="1" spans="1:3" x14ac:dyDescent="0.25">
      <c r="A1" s="214" t="s">
        <v>740</v>
      </c>
      <c r="B1" s="214" t="s">
        <v>739</v>
      </c>
      <c r="C1" s="212"/>
    </row>
    <row r="2" spans="1:3" ht="18" x14ac:dyDescent="0.25">
      <c r="A2" s="214" t="s">
        <v>738</v>
      </c>
      <c r="B2" s="218" t="s">
        <v>737</v>
      </c>
      <c r="C2" s="212"/>
    </row>
    <row r="3" spans="1:3" ht="15.75" x14ac:dyDescent="0.25">
      <c r="A3" s="214" t="s">
        <v>736</v>
      </c>
      <c r="B3" s="217" t="s">
        <v>735</v>
      </c>
      <c r="C3" s="212"/>
    </row>
    <row r="4" spans="1:3" ht="15.75" x14ac:dyDescent="0.25">
      <c r="A4" s="214" t="s">
        <v>734</v>
      </c>
      <c r="B4" s="217" t="s">
        <v>733</v>
      </c>
      <c r="C4" s="212"/>
    </row>
    <row r="5" spans="1:3" ht="15.75" x14ac:dyDescent="0.25">
      <c r="A5" s="214" t="s">
        <v>732</v>
      </c>
      <c r="B5" s="217" t="s">
        <v>731</v>
      </c>
      <c r="C5" s="212"/>
    </row>
    <row r="6" spans="1:3" ht="15.75" x14ac:dyDescent="0.25">
      <c r="A6" s="214" t="s">
        <v>730</v>
      </c>
      <c r="B6" s="217" t="s">
        <v>53</v>
      </c>
      <c r="C6" s="212"/>
    </row>
    <row r="7" spans="1:3" ht="15.75" x14ac:dyDescent="0.25">
      <c r="A7" s="214" t="s">
        <v>729</v>
      </c>
      <c r="B7" s="217" t="s">
        <v>53</v>
      </c>
      <c r="C7" s="212"/>
    </row>
    <row r="8" spans="1:3" ht="15.75" x14ac:dyDescent="0.25">
      <c r="A8" s="214" t="s">
        <v>728</v>
      </c>
      <c r="B8" s="217" t="s">
        <v>53</v>
      </c>
      <c r="C8" s="212"/>
    </row>
    <row r="9" spans="1:3" ht="15.75" x14ac:dyDescent="0.25">
      <c r="A9" s="214" t="s">
        <v>727</v>
      </c>
      <c r="B9" s="217" t="s">
        <v>726</v>
      </c>
      <c r="C9" s="212"/>
    </row>
    <row r="10" spans="1:3" ht="15.75" x14ac:dyDescent="0.25">
      <c r="A10" s="214" t="s">
        <v>725</v>
      </c>
      <c r="B10" s="217" t="s">
        <v>53</v>
      </c>
      <c r="C10" s="212"/>
    </row>
    <row r="11" spans="1:3" ht="15.75" x14ac:dyDescent="0.25">
      <c r="A11" s="214" t="s">
        <v>724</v>
      </c>
      <c r="B11" s="217" t="s">
        <v>723</v>
      </c>
      <c r="C11" s="212"/>
    </row>
    <row r="12" spans="1:3" ht="15.75" x14ac:dyDescent="0.25">
      <c r="A12" s="214" t="s">
        <v>722</v>
      </c>
      <c r="B12" s="217" t="s">
        <v>721</v>
      </c>
      <c r="C12" s="212"/>
    </row>
    <row r="13" spans="1:3" ht="15.75" x14ac:dyDescent="0.25">
      <c r="A13" s="214" t="s">
        <v>720</v>
      </c>
      <c r="B13" s="217" t="s">
        <v>719</v>
      </c>
      <c r="C13" s="212"/>
    </row>
    <row r="14" spans="1:3" ht="15.75" x14ac:dyDescent="0.25">
      <c r="A14" s="214" t="s">
        <v>718</v>
      </c>
      <c r="B14" s="217" t="s">
        <v>717</v>
      </c>
      <c r="C14" s="212"/>
    </row>
    <row r="15" spans="1:3" x14ac:dyDescent="0.25">
      <c r="A15" s="214" t="s">
        <v>53</v>
      </c>
      <c r="B15" s="216" t="s">
        <v>53</v>
      </c>
      <c r="C15" s="212"/>
    </row>
    <row r="16" spans="1:3" x14ac:dyDescent="0.25">
      <c r="A16" s="214" t="s">
        <v>716</v>
      </c>
      <c r="B16" s="213" t="s">
        <v>715</v>
      </c>
      <c r="C16" s="212"/>
    </row>
    <row r="17" spans="1:3" x14ac:dyDescent="0.25">
      <c r="A17" s="214" t="s">
        <v>714</v>
      </c>
      <c r="B17" s="213" t="s">
        <v>713</v>
      </c>
      <c r="C17" s="212"/>
    </row>
    <row r="18" spans="1:3" x14ac:dyDescent="0.25">
      <c r="A18" s="214" t="s">
        <v>712</v>
      </c>
      <c r="B18" s="213" t="s">
        <v>698</v>
      </c>
      <c r="C18" s="212"/>
    </row>
    <row r="19" spans="1:3" x14ac:dyDescent="0.25">
      <c r="A19" s="214" t="s">
        <v>711</v>
      </c>
      <c r="B19" s="213" t="s">
        <v>698</v>
      </c>
      <c r="C19" s="212"/>
    </row>
    <row r="20" spans="1:3" x14ac:dyDescent="0.25">
      <c r="A20" s="214" t="s">
        <v>710</v>
      </c>
      <c r="B20" s="213" t="s">
        <v>698</v>
      </c>
      <c r="C20" s="212"/>
    </row>
    <row r="21" spans="1:3" x14ac:dyDescent="0.25">
      <c r="A21" s="214" t="s">
        <v>709</v>
      </c>
      <c r="B21" s="213" t="s">
        <v>698</v>
      </c>
      <c r="C21" s="212"/>
    </row>
    <row r="22" spans="1:3" x14ac:dyDescent="0.25">
      <c r="A22" s="214" t="s">
        <v>708</v>
      </c>
      <c r="B22" s="213" t="s">
        <v>698</v>
      </c>
      <c r="C22" s="212"/>
    </row>
    <row r="23" spans="1:3" x14ac:dyDescent="0.25">
      <c r="A23" s="214" t="s">
        <v>707</v>
      </c>
      <c r="B23" s="213" t="s">
        <v>698</v>
      </c>
      <c r="C23" s="212"/>
    </row>
    <row r="24" spans="1:3" x14ac:dyDescent="0.25">
      <c r="A24" s="214" t="s">
        <v>706</v>
      </c>
      <c r="B24" s="213" t="s">
        <v>698</v>
      </c>
      <c r="C24" s="212"/>
    </row>
    <row r="25" spans="1:3" x14ac:dyDescent="0.25">
      <c r="A25" s="214" t="s">
        <v>705</v>
      </c>
      <c r="B25" s="213" t="s">
        <v>698</v>
      </c>
      <c r="C25" s="212"/>
    </row>
    <row r="26" spans="1:3" x14ac:dyDescent="0.25">
      <c r="A26" s="214" t="s">
        <v>704</v>
      </c>
      <c r="B26" s="213" t="s">
        <v>703</v>
      </c>
      <c r="C26" s="212"/>
    </row>
    <row r="27" spans="1:3" x14ac:dyDescent="0.25">
      <c r="A27" s="214" t="s">
        <v>702</v>
      </c>
      <c r="B27" s="213" t="s">
        <v>698</v>
      </c>
      <c r="C27" s="212"/>
    </row>
    <row r="28" spans="1:3" x14ac:dyDescent="0.25">
      <c r="A28" s="214" t="s">
        <v>701</v>
      </c>
      <c r="B28" s="213" t="s">
        <v>698</v>
      </c>
      <c r="C28" s="212"/>
    </row>
    <row r="29" spans="1:3" x14ac:dyDescent="0.25">
      <c r="A29" s="214" t="s">
        <v>700</v>
      </c>
      <c r="B29" s="213" t="s">
        <v>698</v>
      </c>
      <c r="C29" s="212"/>
    </row>
    <row r="30" spans="1:3" x14ac:dyDescent="0.25">
      <c r="A30" s="214" t="s">
        <v>699</v>
      </c>
      <c r="B30" s="213" t="s">
        <v>698</v>
      </c>
      <c r="C30" s="212"/>
    </row>
    <row r="31" spans="1:3" ht="29.25" x14ac:dyDescent="0.25">
      <c r="A31" s="215" t="s">
        <v>697</v>
      </c>
      <c r="B31" s="213" t="s">
        <v>552</v>
      </c>
      <c r="C31" s="212"/>
    </row>
    <row r="32" spans="1:3" x14ac:dyDescent="0.25">
      <c r="A32" s="214" t="s">
        <v>696</v>
      </c>
      <c r="B32" s="213" t="s">
        <v>604</v>
      </c>
      <c r="C32" s="212"/>
    </row>
    <row r="33" spans="1:2" x14ac:dyDescent="0.25">
      <c r="A33" s="211" t="s">
        <v>695</v>
      </c>
      <c r="B33" s="211" t="s">
        <v>178</v>
      </c>
    </row>
  </sheetData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4813-7FC8-4AF8-8116-C9AE3F34A6FF}">
  <dimension ref="A1:D27"/>
  <sheetViews>
    <sheetView workbookViewId="0">
      <selection activeCell="C24" sqref="C24"/>
    </sheetView>
  </sheetViews>
  <sheetFormatPr defaultRowHeight="15" x14ac:dyDescent="0.25"/>
  <cols>
    <col min="1" max="1" width="48.140625" style="211" bestFit="1" customWidth="1"/>
    <col min="2" max="2" width="19.28515625" style="219" bestFit="1" customWidth="1"/>
    <col min="3" max="3" width="15.42578125" style="219" bestFit="1" customWidth="1"/>
    <col min="4" max="5" width="9.140625" style="210"/>
    <col min="6" max="6" width="0" style="210" hidden="1" customWidth="1"/>
    <col min="7" max="16384" width="9.140625" style="210"/>
  </cols>
  <sheetData>
    <row r="1" spans="1:4" x14ac:dyDescent="0.25">
      <c r="A1" s="214" t="s">
        <v>740</v>
      </c>
      <c r="B1" s="224" t="s">
        <v>764</v>
      </c>
      <c r="C1" s="224" t="s">
        <v>763</v>
      </c>
      <c r="D1" s="212"/>
    </row>
    <row r="2" spans="1:4" ht="15.75" x14ac:dyDescent="0.25">
      <c r="A2" s="217" t="s">
        <v>762</v>
      </c>
      <c r="B2" s="222"/>
      <c r="C2" s="222"/>
      <c r="D2" s="212"/>
    </row>
    <row r="3" spans="1:4" x14ac:dyDescent="0.25">
      <c r="A3" s="216" t="s">
        <v>670</v>
      </c>
      <c r="B3" s="221">
        <f>0</f>
        <v>0</v>
      </c>
      <c r="C3" s="221"/>
      <c r="D3" s="212"/>
    </row>
    <row r="4" spans="1:4" x14ac:dyDescent="0.25">
      <c r="A4" s="216" t="s">
        <v>761</v>
      </c>
      <c r="B4" s="221">
        <f>B3 * 'Parametry D125'!B16 / 100</f>
        <v>0</v>
      </c>
      <c r="C4" s="221">
        <f>B3 * 'Parametry D125'!B17 / 100</f>
        <v>0</v>
      </c>
      <c r="D4" s="212"/>
    </row>
    <row r="5" spans="1:4" x14ac:dyDescent="0.25">
      <c r="A5" s="216" t="s">
        <v>760</v>
      </c>
      <c r="B5" s="221"/>
      <c r="C5" s="221">
        <f>('Polozky D125'!E55) + 0</f>
        <v>0</v>
      </c>
      <c r="D5" s="212"/>
    </row>
    <row r="6" spans="1:4" x14ac:dyDescent="0.25">
      <c r="A6" s="216" t="s">
        <v>759</v>
      </c>
      <c r="B6" s="221"/>
      <c r="C6" s="221">
        <f>0 + ('Polozky D125'!G55) + 0</f>
        <v>0</v>
      </c>
      <c r="D6" s="212"/>
    </row>
    <row r="7" spans="1:4" x14ac:dyDescent="0.25">
      <c r="A7" s="213" t="s">
        <v>758</v>
      </c>
      <c r="B7" s="223">
        <f>B3 + B4</f>
        <v>0</v>
      </c>
      <c r="C7" s="223">
        <f>C3 + C4 + C5 + C6</f>
        <v>0</v>
      </c>
      <c r="D7" s="212"/>
    </row>
    <row r="8" spans="1:4" x14ac:dyDescent="0.25">
      <c r="A8" s="216" t="s">
        <v>757</v>
      </c>
      <c r="B8" s="221"/>
      <c r="C8" s="221">
        <f>(C5 + C6) * 'Parametry D125'!B18 / 100</f>
        <v>0</v>
      </c>
      <c r="D8" s="212"/>
    </row>
    <row r="9" spans="1:4" x14ac:dyDescent="0.25">
      <c r="A9" s="216" t="s">
        <v>170</v>
      </c>
      <c r="B9" s="221"/>
      <c r="C9" s="221">
        <f>0 + 0</f>
        <v>0</v>
      </c>
      <c r="D9" s="212"/>
    </row>
    <row r="10" spans="1:4" x14ac:dyDescent="0.25">
      <c r="A10" s="216" t="s">
        <v>756</v>
      </c>
      <c r="B10" s="221"/>
      <c r="C10" s="221">
        <f>('Polozky D125'!E64) + ('Polozky D125'!G64)</f>
        <v>0</v>
      </c>
      <c r="D10" s="212"/>
    </row>
    <row r="11" spans="1:4" x14ac:dyDescent="0.25">
      <c r="A11" s="216" t="s">
        <v>755</v>
      </c>
      <c r="B11" s="221"/>
      <c r="C11" s="221">
        <f>(C9 + C10) * 'Parametry D125'!B19 / 100</f>
        <v>0</v>
      </c>
      <c r="D11" s="212"/>
    </row>
    <row r="12" spans="1:4" x14ac:dyDescent="0.25">
      <c r="A12" s="213" t="s">
        <v>754</v>
      </c>
      <c r="B12" s="223">
        <f>B7</f>
        <v>0</v>
      </c>
      <c r="C12" s="223">
        <f>C7 + C8 + C9 + C10 + C11</f>
        <v>0</v>
      </c>
      <c r="D12" s="212"/>
    </row>
    <row r="13" spans="1:4" x14ac:dyDescent="0.25">
      <c r="A13" s="216" t="s">
        <v>753</v>
      </c>
      <c r="B13" s="221"/>
      <c r="C13" s="221">
        <f>(B12 + C12) * 'Parametry D125'!B20 / 100</f>
        <v>0</v>
      </c>
      <c r="D13" s="212"/>
    </row>
    <row r="14" spans="1:4" x14ac:dyDescent="0.25">
      <c r="A14" s="216" t="s">
        <v>752</v>
      </c>
      <c r="B14" s="221"/>
      <c r="C14" s="221">
        <f>(B12 + C12) * 'Parametry D125'!B21 / 100</f>
        <v>0</v>
      </c>
      <c r="D14" s="212"/>
    </row>
    <row r="15" spans="1:4" x14ac:dyDescent="0.25">
      <c r="A15" s="216" t="s">
        <v>751</v>
      </c>
      <c r="B15" s="221"/>
      <c r="C15" s="221">
        <f>(B7 + C7) * 'Parametry D125'!B22 / 100</f>
        <v>0</v>
      </c>
      <c r="D15" s="212"/>
    </row>
    <row r="16" spans="1:4" ht="15.75" x14ac:dyDescent="0.25">
      <c r="A16" s="217" t="s">
        <v>750</v>
      </c>
      <c r="B16" s="222"/>
      <c r="C16" s="222">
        <f>B12 + C12 + C13 + C14 + C15</f>
        <v>0</v>
      </c>
      <c r="D16" s="212"/>
    </row>
    <row r="17" spans="1:4" x14ac:dyDescent="0.25">
      <c r="A17" s="216" t="s">
        <v>53</v>
      </c>
      <c r="B17" s="221"/>
      <c r="C17" s="221"/>
      <c r="D17" s="212"/>
    </row>
    <row r="18" spans="1:4" ht="15.75" x14ac:dyDescent="0.25">
      <c r="A18" s="217" t="s">
        <v>749</v>
      </c>
      <c r="B18" s="222"/>
      <c r="C18" s="222"/>
      <c r="D18" s="212"/>
    </row>
    <row r="19" spans="1:4" x14ac:dyDescent="0.25">
      <c r="A19" s="216" t="s">
        <v>748</v>
      </c>
      <c r="B19" s="221"/>
      <c r="C19" s="221">
        <f>C12 * 'Parametry D125'!B23 / 100</f>
        <v>0</v>
      </c>
      <c r="D19" s="212"/>
    </row>
    <row r="20" spans="1:4" x14ac:dyDescent="0.25">
      <c r="A20" s="216" t="s">
        <v>747</v>
      </c>
      <c r="B20" s="221"/>
      <c r="C20" s="221">
        <f>C12 * 'Parametry D125'!B24 / 100</f>
        <v>0</v>
      </c>
      <c r="D20" s="212"/>
    </row>
    <row r="21" spans="1:4" ht="15.75" x14ac:dyDescent="0.25">
      <c r="A21" s="217" t="s">
        <v>746</v>
      </c>
      <c r="B21" s="222"/>
      <c r="C21" s="222">
        <f>C19 + C20</f>
        <v>0</v>
      </c>
      <c r="D21" s="212"/>
    </row>
    <row r="22" spans="1:4" x14ac:dyDescent="0.25">
      <c r="A22" s="216" t="s">
        <v>745</v>
      </c>
      <c r="B22" s="221"/>
      <c r="C22" s="221">
        <f>'Parametry D125'!B25 * 'Parametry D125'!B28 * (C16 * 'Parametry D125'!B27)^'Parametry D125'!B26</f>
        <v>0</v>
      </c>
      <c r="D22" s="212"/>
    </row>
    <row r="23" spans="1:4" x14ac:dyDescent="0.25">
      <c r="A23" s="216" t="s">
        <v>53</v>
      </c>
      <c r="B23" s="221"/>
      <c r="C23" s="221"/>
      <c r="D23" s="212"/>
    </row>
    <row r="24" spans="1:4" ht="18" x14ac:dyDescent="0.25">
      <c r="A24" s="218" t="s">
        <v>744</v>
      </c>
      <c r="B24" s="220"/>
      <c r="C24" s="220">
        <f>C16 + C21 + C22</f>
        <v>0</v>
      </c>
      <c r="D24" s="212"/>
    </row>
    <row r="25" spans="1:4" x14ac:dyDescent="0.25">
      <c r="A25" s="216" t="s">
        <v>743</v>
      </c>
      <c r="B25" s="221">
        <f>(SUM('Polozky D125'!E3:E10,'Polozky D125'!E11,'Polozky D125'!E12,'Polozky D125'!E13:E19,'Polozky D125'!E20:E24,'Polozky D125'!E25:E38,'Polozky D125'!E39:E53,'Polozky D125'!E54)+SUM('Polozky D125'!E58:E63)) + (SUM('Polozky D125'!G3:G10,'Polozky D125'!G11,'Polozky D125'!G12,'Polozky D125'!G13:G19,'Polozky D125'!G20:G24,'Polozky D125'!G25:G38,'Polozky D125'!G39:G53)+SUM('Polozky D125'!G58:G63)) + B4 + C4 + C8 + C11 + C13 + C14 + C15 + C21 + C22</f>
        <v>0</v>
      </c>
      <c r="C25" s="221">
        <f>B25 * 'Parametry D125'!B31 / 100</f>
        <v>0</v>
      </c>
      <c r="D25" s="212"/>
    </row>
    <row r="26" spans="1:4" x14ac:dyDescent="0.25">
      <c r="A26" s="216" t="s">
        <v>742</v>
      </c>
      <c r="B26" s="221">
        <f>(SUM('Polozky D125'!E18,'Polozky D125'!E20,'Polozky D125'!E25,'Polozky D125'!E29,'Polozky D125'!E39,'Polozky D125'!E43,'Polozky D125'!E45,'Polozky D125'!E47,'Polozky D125'!E49,'Polozky D125'!E51:E52)+SUM('Polozky D125'!E58,'Polozky D125'!E60,'Polozky D125'!E62)) + (SUM('Polozky D125'!G18,'Polozky D125'!G20,'Polozky D125'!G25,'Polozky D125'!G29,'Polozky D125'!G39,'Polozky D125'!G43,'Polozky D125'!G45,'Polozky D125'!G47,'Polozky D125'!G49,'Polozky D125'!G51:G52)+SUM('Polozky D125'!G58,'Polozky D125'!G60,'Polozky D125'!G62))</f>
        <v>0</v>
      </c>
      <c r="C26" s="221">
        <f>B26 * 'Parametry D125'!B32 / 100</f>
        <v>0</v>
      </c>
      <c r="D26" s="212"/>
    </row>
    <row r="27" spans="1:4" ht="18" x14ac:dyDescent="0.25">
      <c r="A27" s="218" t="s">
        <v>741</v>
      </c>
      <c r="B27" s="220"/>
      <c r="C27" s="220">
        <f>C24 + C25 + C26</f>
        <v>0</v>
      </c>
      <c r="D27" s="212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1811-9F5D-49CA-8B13-6C4090543CD4}">
  <dimension ref="A1:L65"/>
  <sheetViews>
    <sheetView view="pageBreakPreview" topLeftCell="A33" zoomScale="90" zoomScaleNormal="100" zoomScaleSheetLayoutView="90" workbookViewId="0">
      <selection activeCell="D61" sqref="D61"/>
    </sheetView>
  </sheetViews>
  <sheetFormatPr defaultRowHeight="15" x14ac:dyDescent="0.25"/>
  <cols>
    <col min="1" max="1" width="80.7109375" style="225" customWidth="1"/>
    <col min="2" max="2" width="4.42578125" style="211" bestFit="1" customWidth="1"/>
    <col min="3" max="3" width="7" style="219" bestFit="1" customWidth="1"/>
    <col min="4" max="4" width="10.140625" style="219" bestFit="1" customWidth="1"/>
    <col min="5" max="5" width="15.7109375" style="219" bestFit="1" customWidth="1"/>
    <col min="6" max="6" width="10.140625" style="219" bestFit="1" customWidth="1"/>
    <col min="7" max="7" width="15.28515625" style="219" bestFit="1" customWidth="1"/>
    <col min="8" max="8" width="10.140625" style="219" bestFit="1" customWidth="1"/>
    <col min="9" max="9" width="15.5703125" style="219" bestFit="1" customWidth="1"/>
    <col min="10" max="11" width="9.140625" style="210"/>
    <col min="12" max="12" width="10" style="210" hidden="1" customWidth="1"/>
    <col min="13" max="16384" width="9.140625" style="210"/>
  </cols>
  <sheetData>
    <row r="1" spans="1:12" ht="20.25" customHeight="1" x14ac:dyDescent="0.25">
      <c r="A1" s="215" t="s">
        <v>740</v>
      </c>
      <c r="B1" s="214" t="s">
        <v>833</v>
      </c>
      <c r="C1" s="224" t="s">
        <v>832</v>
      </c>
      <c r="D1" s="224" t="s">
        <v>831</v>
      </c>
      <c r="E1" s="224" t="s">
        <v>830</v>
      </c>
      <c r="F1" s="224" t="s">
        <v>76</v>
      </c>
      <c r="G1" s="224" t="s">
        <v>829</v>
      </c>
      <c r="H1" s="224" t="s">
        <v>828</v>
      </c>
      <c r="I1" s="224" t="s">
        <v>827</v>
      </c>
      <c r="J1" s="212"/>
      <c r="K1" s="212"/>
      <c r="L1" s="210">
        <f>'Parametry D125'!B33/100*E3+'Parametry D125'!B33/100*E12+'Parametry D125'!B33/100*E13+'Parametry D125'!B33/100*E14+'Parametry D125'!B33/100*E15+'Parametry D125'!B33/100*E16+'Parametry D125'!B33/100*E17+'Parametry D125'!B33/100*E19+'Parametry D125'!B33/100*E21+'Parametry D125'!B33/100*E22+'Parametry D125'!B33/100*E23+'Parametry D125'!B33/100*E24+'Parametry D125'!B33/100*E26+'Parametry D125'!B33/100*E27+'Parametry D125'!B33/100*E28+'Parametry D125'!B33/100*E30+'Parametry D125'!B33/100*E31+'Parametry D125'!B33/100*E32+'Parametry D125'!B33/100*E33+'Parametry D125'!B33/100*E34+'Parametry D125'!B33/100*E35+'Parametry D125'!B33/100*E36+'Parametry D125'!B33/100*E37</f>
        <v>0</v>
      </c>
    </row>
    <row r="2" spans="1:12" ht="18" x14ac:dyDescent="0.25">
      <c r="A2" s="227" t="s">
        <v>826</v>
      </c>
      <c r="B2" s="218" t="s">
        <v>53</v>
      </c>
      <c r="C2" s="220"/>
      <c r="D2" s="220"/>
      <c r="E2" s="220"/>
      <c r="F2" s="220"/>
      <c r="G2" s="220"/>
      <c r="H2" s="220"/>
      <c r="I2" s="220"/>
      <c r="J2" s="212"/>
      <c r="K2" s="212"/>
    </row>
    <row r="3" spans="1:12" ht="29.25" x14ac:dyDescent="0.25">
      <c r="A3" s="226" t="s">
        <v>825</v>
      </c>
      <c r="B3" s="216" t="s">
        <v>781</v>
      </c>
      <c r="C3" s="221">
        <v>1</v>
      </c>
      <c r="D3" s="228">
        <v>0</v>
      </c>
      <c r="E3" s="221">
        <f>C3*D3</f>
        <v>0</v>
      </c>
      <c r="F3" s="228">
        <v>0</v>
      </c>
      <c r="G3" s="221">
        <f>C3*F3</f>
        <v>0</v>
      </c>
      <c r="H3" s="221">
        <f>D3+F3</f>
        <v>0</v>
      </c>
      <c r="I3" s="221">
        <f>E3+G3</f>
        <v>0</v>
      </c>
      <c r="J3" s="212"/>
      <c r="K3" s="212"/>
    </row>
    <row r="4" spans="1:12" ht="29.25" x14ac:dyDescent="0.25">
      <c r="A4" s="226" t="s">
        <v>824</v>
      </c>
      <c r="B4" s="216" t="s">
        <v>781</v>
      </c>
      <c r="C4" s="221">
        <v>1</v>
      </c>
      <c r="D4" s="228">
        <v>0</v>
      </c>
      <c r="E4" s="221">
        <f>C4*D4</f>
        <v>0</v>
      </c>
      <c r="F4" s="228">
        <v>0</v>
      </c>
      <c r="G4" s="221">
        <f>C4*F4</f>
        <v>0</v>
      </c>
      <c r="H4" s="221">
        <f>D4+F4</f>
        <v>0</v>
      </c>
      <c r="I4" s="221">
        <f>E4+G4</f>
        <v>0</v>
      </c>
      <c r="J4" s="212"/>
      <c r="K4" s="212"/>
    </row>
    <row r="5" spans="1:12" x14ac:dyDescent="0.25">
      <c r="A5" s="226" t="s">
        <v>823</v>
      </c>
      <c r="B5" s="216" t="s">
        <v>781</v>
      </c>
      <c r="C5" s="221">
        <v>2</v>
      </c>
      <c r="D5" s="228">
        <v>0</v>
      </c>
      <c r="E5" s="221">
        <f>C5*D5</f>
        <v>0</v>
      </c>
      <c r="F5" s="228">
        <v>0</v>
      </c>
      <c r="G5" s="221">
        <f>C5*F5</f>
        <v>0</v>
      </c>
      <c r="H5" s="221">
        <f>D5+F5</f>
        <v>0</v>
      </c>
      <c r="I5" s="221">
        <f>E5+G5</f>
        <v>0</v>
      </c>
      <c r="J5" s="212"/>
      <c r="K5" s="212"/>
    </row>
    <row r="6" spans="1:12" x14ac:dyDescent="0.25">
      <c r="A6" s="226" t="s">
        <v>822</v>
      </c>
      <c r="B6" s="216" t="s">
        <v>781</v>
      </c>
      <c r="C6" s="221">
        <v>1</v>
      </c>
      <c r="D6" s="228">
        <v>0</v>
      </c>
      <c r="E6" s="221">
        <f>C6*D6</f>
        <v>0</v>
      </c>
      <c r="F6" s="228">
        <v>0</v>
      </c>
      <c r="G6" s="221">
        <f>C6*F6</f>
        <v>0</v>
      </c>
      <c r="H6" s="221">
        <f>D6+F6</f>
        <v>0</v>
      </c>
      <c r="I6" s="221">
        <f>E6+G6</f>
        <v>0</v>
      </c>
      <c r="J6" s="212"/>
      <c r="K6" s="212"/>
    </row>
    <row r="7" spans="1:12" x14ac:dyDescent="0.25">
      <c r="A7" s="226" t="s">
        <v>821</v>
      </c>
      <c r="B7" s="216" t="s">
        <v>781</v>
      </c>
      <c r="C7" s="221">
        <v>1</v>
      </c>
      <c r="D7" s="228">
        <v>0</v>
      </c>
      <c r="E7" s="221">
        <f>C7*D7</f>
        <v>0</v>
      </c>
      <c r="F7" s="228">
        <v>0</v>
      </c>
      <c r="G7" s="221">
        <f>C7*F7</f>
        <v>0</v>
      </c>
      <c r="H7" s="221">
        <f>D7+F7</f>
        <v>0</v>
      </c>
      <c r="I7" s="221">
        <f>E7+G7</f>
        <v>0</v>
      </c>
      <c r="J7" s="212"/>
      <c r="K7" s="212"/>
    </row>
    <row r="8" spans="1:12" x14ac:dyDescent="0.25">
      <c r="A8" s="226" t="s">
        <v>820</v>
      </c>
      <c r="B8" s="216" t="s">
        <v>781</v>
      </c>
      <c r="C8" s="221">
        <v>1</v>
      </c>
      <c r="D8" s="228">
        <v>0</v>
      </c>
      <c r="E8" s="221">
        <f>C8*D8</f>
        <v>0</v>
      </c>
      <c r="F8" s="228">
        <v>0</v>
      </c>
      <c r="G8" s="221">
        <f>C8*F8</f>
        <v>0</v>
      </c>
      <c r="H8" s="221">
        <f>D8+F8</f>
        <v>0</v>
      </c>
      <c r="I8" s="221">
        <f>E8+G8</f>
        <v>0</v>
      </c>
      <c r="J8" s="212"/>
      <c r="K8" s="212"/>
    </row>
    <row r="9" spans="1:12" x14ac:dyDescent="0.25">
      <c r="A9" s="226" t="s">
        <v>819</v>
      </c>
      <c r="B9" s="216" t="s">
        <v>781</v>
      </c>
      <c r="C9" s="221">
        <v>2</v>
      </c>
      <c r="D9" s="228">
        <v>0</v>
      </c>
      <c r="E9" s="221">
        <f>C9*D9</f>
        <v>0</v>
      </c>
      <c r="F9" s="228">
        <v>0</v>
      </c>
      <c r="G9" s="221">
        <f>C9*F9</f>
        <v>0</v>
      </c>
      <c r="H9" s="221">
        <f>D9+F9</f>
        <v>0</v>
      </c>
      <c r="I9" s="221">
        <f>E9+G9</f>
        <v>0</v>
      </c>
      <c r="J9" s="212"/>
      <c r="K9" s="212"/>
    </row>
    <row r="10" spans="1:12" ht="20.25" customHeight="1" x14ac:dyDescent="0.25">
      <c r="A10" s="226" t="s">
        <v>818</v>
      </c>
      <c r="B10" s="216" t="s">
        <v>781</v>
      </c>
      <c r="C10" s="221">
        <v>1</v>
      </c>
      <c r="D10" s="228">
        <v>0</v>
      </c>
      <c r="E10" s="221">
        <f>C10*D10</f>
        <v>0</v>
      </c>
      <c r="F10" s="228">
        <v>0</v>
      </c>
      <c r="G10" s="221">
        <f>C10*F10</f>
        <v>0</v>
      </c>
      <c r="H10" s="221">
        <f>D10+F10</f>
        <v>0</v>
      </c>
      <c r="I10" s="221">
        <f>E10+G10</f>
        <v>0</v>
      </c>
      <c r="J10" s="212"/>
      <c r="K10" s="212"/>
    </row>
    <row r="11" spans="1:12" x14ac:dyDescent="0.25">
      <c r="A11" s="226" t="s">
        <v>817</v>
      </c>
      <c r="B11" s="216" t="s">
        <v>781</v>
      </c>
      <c r="C11" s="221">
        <v>3</v>
      </c>
      <c r="D11" s="228">
        <v>0</v>
      </c>
      <c r="E11" s="221">
        <f>C11*D11</f>
        <v>0</v>
      </c>
      <c r="F11" s="228">
        <v>0</v>
      </c>
      <c r="G11" s="221">
        <f>C11*F11</f>
        <v>0</v>
      </c>
      <c r="H11" s="221">
        <f>D11+F11</f>
        <v>0</v>
      </c>
      <c r="I11" s="221">
        <f>E11+G11</f>
        <v>0</v>
      </c>
      <c r="J11" s="212"/>
      <c r="K11" s="212"/>
    </row>
    <row r="12" spans="1:12" x14ac:dyDescent="0.25">
      <c r="A12" s="226" t="s">
        <v>816</v>
      </c>
      <c r="B12" s="216" t="s">
        <v>781</v>
      </c>
      <c r="C12" s="221">
        <v>1</v>
      </c>
      <c r="D12" s="228">
        <v>0</v>
      </c>
      <c r="E12" s="221">
        <f>C12*D12</f>
        <v>0</v>
      </c>
      <c r="F12" s="228">
        <v>0</v>
      </c>
      <c r="G12" s="221">
        <f>C12*F12</f>
        <v>0</v>
      </c>
      <c r="H12" s="221">
        <f>D12+F12</f>
        <v>0</v>
      </c>
      <c r="I12" s="221">
        <f>E12+G12</f>
        <v>0</v>
      </c>
      <c r="J12" s="212"/>
      <c r="K12" s="212"/>
    </row>
    <row r="13" spans="1:12" x14ac:dyDescent="0.25">
      <c r="A13" s="226" t="s">
        <v>815</v>
      </c>
      <c r="B13" s="216" t="s">
        <v>781</v>
      </c>
      <c r="C13" s="221">
        <v>4</v>
      </c>
      <c r="D13" s="228">
        <v>0</v>
      </c>
      <c r="E13" s="221">
        <f>C13*D13</f>
        <v>0</v>
      </c>
      <c r="F13" s="228">
        <v>0</v>
      </c>
      <c r="G13" s="221">
        <f>C13*F13</f>
        <v>0</v>
      </c>
      <c r="H13" s="221">
        <f>D13+F13</f>
        <v>0</v>
      </c>
      <c r="I13" s="221">
        <f>E13+G13</f>
        <v>0</v>
      </c>
      <c r="J13" s="212"/>
      <c r="K13" s="212"/>
    </row>
    <row r="14" spans="1:12" x14ac:dyDescent="0.25">
      <c r="A14" s="226" t="s">
        <v>814</v>
      </c>
      <c r="B14" s="216" t="s">
        <v>217</v>
      </c>
      <c r="C14" s="221">
        <v>10</v>
      </c>
      <c r="D14" s="228">
        <v>0</v>
      </c>
      <c r="E14" s="221">
        <f>C14*D14</f>
        <v>0</v>
      </c>
      <c r="F14" s="228">
        <v>0</v>
      </c>
      <c r="G14" s="221">
        <f>C14*F14</f>
        <v>0</v>
      </c>
      <c r="H14" s="221">
        <f>D14+F14</f>
        <v>0</v>
      </c>
      <c r="I14" s="221">
        <f>E14+G14</f>
        <v>0</v>
      </c>
      <c r="J14" s="212"/>
      <c r="K14" s="212"/>
    </row>
    <row r="15" spans="1:12" x14ac:dyDescent="0.25">
      <c r="A15" s="226" t="s">
        <v>813</v>
      </c>
      <c r="B15" s="216" t="s">
        <v>217</v>
      </c>
      <c r="C15" s="221">
        <v>20</v>
      </c>
      <c r="D15" s="228">
        <v>0</v>
      </c>
      <c r="E15" s="221">
        <f>C15*D15</f>
        <v>0</v>
      </c>
      <c r="F15" s="228">
        <v>0</v>
      </c>
      <c r="G15" s="221">
        <f>C15*F15</f>
        <v>0</v>
      </c>
      <c r="H15" s="221">
        <f>D15+F15</f>
        <v>0</v>
      </c>
      <c r="I15" s="221">
        <f>E15+G15</f>
        <v>0</v>
      </c>
      <c r="J15" s="212"/>
      <c r="K15" s="212"/>
    </row>
    <row r="16" spans="1:12" x14ac:dyDescent="0.25">
      <c r="A16" s="226" t="s">
        <v>812</v>
      </c>
      <c r="B16" s="216" t="s">
        <v>217</v>
      </c>
      <c r="C16" s="221">
        <v>40</v>
      </c>
      <c r="D16" s="228">
        <v>0</v>
      </c>
      <c r="E16" s="221">
        <f>C16*D16</f>
        <v>0</v>
      </c>
      <c r="F16" s="228">
        <v>0</v>
      </c>
      <c r="G16" s="221">
        <f>C16*F16</f>
        <v>0</v>
      </c>
      <c r="H16" s="221">
        <f>D16+F16</f>
        <v>0</v>
      </c>
      <c r="I16" s="221">
        <f>E16+G16</f>
        <v>0</v>
      </c>
      <c r="J16" s="212"/>
      <c r="K16" s="212"/>
    </row>
    <row r="17" spans="1:11" x14ac:dyDescent="0.25">
      <c r="A17" s="226" t="s">
        <v>811</v>
      </c>
      <c r="B17" s="216" t="s">
        <v>781</v>
      </c>
      <c r="C17" s="221">
        <v>90</v>
      </c>
      <c r="D17" s="228">
        <v>0</v>
      </c>
      <c r="E17" s="221">
        <f>C17*D17</f>
        <v>0</v>
      </c>
      <c r="F17" s="228">
        <v>0</v>
      </c>
      <c r="G17" s="221">
        <f>C17*F17</f>
        <v>0</v>
      </c>
      <c r="H17" s="221">
        <f>D17+F17</f>
        <v>0</v>
      </c>
      <c r="I17" s="221">
        <f>E17+G17</f>
        <v>0</v>
      </c>
      <c r="J17" s="212"/>
      <c r="K17" s="212"/>
    </row>
    <row r="18" spans="1:11" ht="15.75" x14ac:dyDescent="0.25">
      <c r="A18" s="231" t="s">
        <v>810</v>
      </c>
      <c r="B18" s="230" t="s">
        <v>53</v>
      </c>
      <c r="C18" s="229"/>
      <c r="D18" s="229"/>
      <c r="E18" s="229"/>
      <c r="F18" s="229"/>
      <c r="G18" s="229"/>
      <c r="H18" s="229"/>
      <c r="I18" s="229"/>
      <c r="J18" s="212"/>
      <c r="K18" s="212"/>
    </row>
    <row r="19" spans="1:11" x14ac:dyDescent="0.25">
      <c r="A19" s="226" t="s">
        <v>809</v>
      </c>
      <c r="B19" s="216" t="s">
        <v>781</v>
      </c>
      <c r="C19" s="221">
        <v>30</v>
      </c>
      <c r="D19" s="228">
        <v>0</v>
      </c>
      <c r="E19" s="221">
        <f>C19*D19</f>
        <v>0</v>
      </c>
      <c r="F19" s="228">
        <v>0</v>
      </c>
      <c r="G19" s="221">
        <f>C19*F19</f>
        <v>0</v>
      </c>
      <c r="H19" s="221">
        <f>D19+F19</f>
        <v>0</v>
      </c>
      <c r="I19" s="221">
        <f>E19+G19</f>
        <v>0</v>
      </c>
      <c r="J19" s="212"/>
      <c r="K19" s="212"/>
    </row>
    <row r="20" spans="1:11" ht="15.75" x14ac:dyDescent="0.25">
      <c r="A20" s="231" t="s">
        <v>808</v>
      </c>
      <c r="B20" s="230" t="s">
        <v>53</v>
      </c>
      <c r="C20" s="229"/>
      <c r="D20" s="229"/>
      <c r="E20" s="229"/>
      <c r="F20" s="229"/>
      <c r="G20" s="229"/>
      <c r="H20" s="229"/>
      <c r="I20" s="229"/>
      <c r="J20" s="212"/>
      <c r="K20" s="212"/>
    </row>
    <row r="21" spans="1:11" x14ac:dyDescent="0.25">
      <c r="A21" s="226" t="s">
        <v>807</v>
      </c>
      <c r="B21" s="216" t="s">
        <v>217</v>
      </c>
      <c r="C21" s="221">
        <v>80</v>
      </c>
      <c r="D21" s="228">
        <v>0</v>
      </c>
      <c r="E21" s="221">
        <f>C21*D21</f>
        <v>0</v>
      </c>
      <c r="F21" s="228">
        <v>0</v>
      </c>
      <c r="G21" s="221">
        <f>C21*F21</f>
        <v>0</v>
      </c>
      <c r="H21" s="221">
        <f>D21+F21</f>
        <v>0</v>
      </c>
      <c r="I21" s="221">
        <f>E21+G21</f>
        <v>0</v>
      </c>
      <c r="J21" s="212"/>
      <c r="K21" s="212"/>
    </row>
    <row r="22" spans="1:11" x14ac:dyDescent="0.25">
      <c r="A22" s="226" t="s">
        <v>806</v>
      </c>
      <c r="B22" s="216" t="s">
        <v>217</v>
      </c>
      <c r="C22" s="221">
        <v>25</v>
      </c>
      <c r="D22" s="228">
        <v>0</v>
      </c>
      <c r="E22" s="221">
        <f>C22*D22</f>
        <v>0</v>
      </c>
      <c r="F22" s="228">
        <v>0</v>
      </c>
      <c r="G22" s="221">
        <f>C22*F22</f>
        <v>0</v>
      </c>
      <c r="H22" s="221">
        <f>D22+F22</f>
        <v>0</v>
      </c>
      <c r="I22" s="221">
        <f>E22+G22</f>
        <v>0</v>
      </c>
      <c r="J22" s="212"/>
      <c r="K22" s="212"/>
    </row>
    <row r="23" spans="1:11" x14ac:dyDescent="0.25">
      <c r="A23" s="226" t="s">
        <v>805</v>
      </c>
      <c r="B23" s="216" t="s">
        <v>217</v>
      </c>
      <c r="C23" s="221">
        <v>6</v>
      </c>
      <c r="D23" s="228">
        <v>0</v>
      </c>
      <c r="E23" s="221">
        <f>C23*D23</f>
        <v>0</v>
      </c>
      <c r="F23" s="228">
        <v>0</v>
      </c>
      <c r="G23" s="221">
        <f>C23*F23</f>
        <v>0</v>
      </c>
      <c r="H23" s="221">
        <f>D23+F23</f>
        <v>0</v>
      </c>
      <c r="I23" s="221">
        <f>E23+G23</f>
        <v>0</v>
      </c>
      <c r="J23" s="212"/>
      <c r="K23" s="212"/>
    </row>
    <row r="24" spans="1:11" ht="29.25" x14ac:dyDescent="0.25">
      <c r="A24" s="226" t="s">
        <v>804</v>
      </c>
      <c r="B24" s="216" t="s">
        <v>217</v>
      </c>
      <c r="C24" s="221">
        <v>35</v>
      </c>
      <c r="D24" s="228">
        <v>0</v>
      </c>
      <c r="E24" s="221">
        <f>C24*D24</f>
        <v>0</v>
      </c>
      <c r="F24" s="228">
        <v>0</v>
      </c>
      <c r="G24" s="221">
        <f>C24*F24</f>
        <v>0</v>
      </c>
      <c r="H24" s="221">
        <f>D24+F24</f>
        <v>0</v>
      </c>
      <c r="I24" s="221">
        <f>E24+G24</f>
        <v>0</v>
      </c>
      <c r="J24" s="212"/>
      <c r="K24" s="212"/>
    </row>
    <row r="25" spans="1:11" ht="15.75" x14ac:dyDescent="0.25">
      <c r="A25" s="231" t="s">
        <v>803</v>
      </c>
      <c r="B25" s="230" t="s">
        <v>53</v>
      </c>
      <c r="C25" s="229"/>
      <c r="D25" s="229"/>
      <c r="E25" s="229"/>
      <c r="F25" s="229"/>
      <c r="G25" s="229"/>
      <c r="H25" s="229"/>
      <c r="I25" s="229"/>
      <c r="J25" s="212"/>
      <c r="K25" s="212"/>
    </row>
    <row r="26" spans="1:11" x14ac:dyDescent="0.25">
      <c r="A26" s="226" t="s">
        <v>802</v>
      </c>
      <c r="B26" s="216" t="s">
        <v>217</v>
      </c>
      <c r="C26" s="221">
        <v>80</v>
      </c>
      <c r="D26" s="228">
        <v>0</v>
      </c>
      <c r="E26" s="221">
        <f>C26*D26</f>
        <v>0</v>
      </c>
      <c r="F26" s="228">
        <v>0</v>
      </c>
      <c r="G26" s="221">
        <f>C26*F26</f>
        <v>0</v>
      </c>
      <c r="H26" s="221">
        <f>D26+F26</f>
        <v>0</v>
      </c>
      <c r="I26" s="221">
        <f>E26+G26</f>
        <v>0</v>
      </c>
      <c r="J26" s="212"/>
      <c r="K26" s="212"/>
    </row>
    <row r="27" spans="1:11" x14ac:dyDescent="0.25">
      <c r="A27" s="226" t="s">
        <v>801</v>
      </c>
      <c r="B27" s="216" t="s">
        <v>217</v>
      </c>
      <c r="C27" s="221">
        <v>10</v>
      </c>
      <c r="D27" s="228">
        <v>0</v>
      </c>
      <c r="E27" s="221">
        <f>C27*D27</f>
        <v>0</v>
      </c>
      <c r="F27" s="228">
        <v>0</v>
      </c>
      <c r="G27" s="221">
        <f>C27*F27</f>
        <v>0</v>
      </c>
      <c r="H27" s="221">
        <f>D27+F27</f>
        <v>0</v>
      </c>
      <c r="I27" s="221">
        <f>E27+G27</f>
        <v>0</v>
      </c>
      <c r="J27" s="212"/>
      <c r="K27" s="212"/>
    </row>
    <row r="28" spans="1:11" x14ac:dyDescent="0.25">
      <c r="A28" s="226" t="s">
        <v>800</v>
      </c>
      <c r="B28" s="216" t="s">
        <v>217</v>
      </c>
      <c r="C28" s="221">
        <v>70</v>
      </c>
      <c r="D28" s="228">
        <v>0</v>
      </c>
      <c r="E28" s="221">
        <f>C28*D28</f>
        <v>0</v>
      </c>
      <c r="F28" s="228">
        <v>0</v>
      </c>
      <c r="G28" s="221">
        <f>C28*F28</f>
        <v>0</v>
      </c>
      <c r="H28" s="221">
        <f>D28+F28</f>
        <v>0</v>
      </c>
      <c r="I28" s="221">
        <f>E28+G28</f>
        <v>0</v>
      </c>
      <c r="J28" s="212"/>
      <c r="K28" s="212"/>
    </row>
    <row r="29" spans="1:11" ht="15.75" x14ac:dyDescent="0.25">
      <c r="A29" s="231" t="s">
        <v>799</v>
      </c>
      <c r="B29" s="230" t="s">
        <v>53</v>
      </c>
      <c r="C29" s="229"/>
      <c r="D29" s="229"/>
      <c r="E29" s="229"/>
      <c r="F29" s="229"/>
      <c r="G29" s="229"/>
      <c r="H29" s="229"/>
      <c r="I29" s="229"/>
      <c r="J29" s="212"/>
      <c r="K29" s="212"/>
    </row>
    <row r="30" spans="1:11" x14ac:dyDescent="0.25">
      <c r="A30" s="226" t="s">
        <v>798</v>
      </c>
      <c r="B30" s="216" t="s">
        <v>781</v>
      </c>
      <c r="C30" s="221">
        <v>42</v>
      </c>
      <c r="D30" s="228">
        <v>0</v>
      </c>
      <c r="E30" s="221">
        <f>C30*D30</f>
        <v>0</v>
      </c>
      <c r="F30" s="228">
        <v>0</v>
      </c>
      <c r="G30" s="221">
        <f>C30*F30</f>
        <v>0</v>
      </c>
      <c r="H30" s="221">
        <f>D30+F30</f>
        <v>0</v>
      </c>
      <c r="I30" s="221">
        <f>E30+G30</f>
        <v>0</v>
      </c>
      <c r="J30" s="212"/>
      <c r="K30" s="212"/>
    </row>
    <row r="31" spans="1:11" x14ac:dyDescent="0.25">
      <c r="A31" s="226" t="s">
        <v>797</v>
      </c>
      <c r="B31" s="216" t="s">
        <v>781</v>
      </c>
      <c r="C31" s="221">
        <v>10</v>
      </c>
      <c r="D31" s="228">
        <v>0</v>
      </c>
      <c r="E31" s="221">
        <f>C31*D31</f>
        <v>0</v>
      </c>
      <c r="F31" s="228">
        <v>0</v>
      </c>
      <c r="G31" s="221">
        <f>C31*F31</f>
        <v>0</v>
      </c>
      <c r="H31" s="221">
        <f>D31+F31</f>
        <v>0</v>
      </c>
      <c r="I31" s="221">
        <f>E31+G31</f>
        <v>0</v>
      </c>
      <c r="J31" s="212"/>
      <c r="K31" s="212"/>
    </row>
    <row r="32" spans="1:11" x14ac:dyDescent="0.25">
      <c r="A32" s="226" t="s">
        <v>796</v>
      </c>
      <c r="B32" s="216" t="s">
        <v>781</v>
      </c>
      <c r="C32" s="221">
        <v>20</v>
      </c>
      <c r="D32" s="228">
        <v>0</v>
      </c>
      <c r="E32" s="221">
        <f>C32*D32</f>
        <v>0</v>
      </c>
      <c r="F32" s="228">
        <v>0</v>
      </c>
      <c r="G32" s="221">
        <f>C32*F32</f>
        <v>0</v>
      </c>
      <c r="H32" s="221">
        <f>D32+F32</f>
        <v>0</v>
      </c>
      <c r="I32" s="221">
        <f>E32+G32</f>
        <v>0</v>
      </c>
      <c r="J32" s="212"/>
      <c r="K32" s="212"/>
    </row>
    <row r="33" spans="1:11" x14ac:dyDescent="0.25">
      <c r="A33" s="226" t="s">
        <v>795</v>
      </c>
      <c r="B33" s="216" t="s">
        <v>781</v>
      </c>
      <c r="C33" s="221">
        <v>20</v>
      </c>
      <c r="D33" s="228">
        <v>0</v>
      </c>
      <c r="E33" s="221">
        <f>C33*D33</f>
        <v>0</v>
      </c>
      <c r="F33" s="228">
        <v>0</v>
      </c>
      <c r="G33" s="221">
        <f>C33*F33</f>
        <v>0</v>
      </c>
      <c r="H33" s="221">
        <f>D33+F33</f>
        <v>0</v>
      </c>
      <c r="I33" s="221">
        <f>E33+G33</f>
        <v>0</v>
      </c>
      <c r="J33" s="212"/>
      <c r="K33" s="212"/>
    </row>
    <row r="34" spans="1:11" x14ac:dyDescent="0.25">
      <c r="A34" s="226" t="s">
        <v>794</v>
      </c>
      <c r="B34" s="216" t="s">
        <v>781</v>
      </c>
      <c r="C34" s="221">
        <v>20</v>
      </c>
      <c r="D34" s="228">
        <v>0</v>
      </c>
      <c r="E34" s="221">
        <f>C34*D34</f>
        <v>0</v>
      </c>
      <c r="F34" s="228">
        <v>0</v>
      </c>
      <c r="G34" s="221">
        <f>C34*F34</f>
        <v>0</v>
      </c>
      <c r="H34" s="221">
        <f>D34+F34</f>
        <v>0</v>
      </c>
      <c r="I34" s="221">
        <f>E34+G34</f>
        <v>0</v>
      </c>
      <c r="J34" s="212"/>
      <c r="K34" s="212"/>
    </row>
    <row r="35" spans="1:11" x14ac:dyDescent="0.25">
      <c r="A35" s="226" t="s">
        <v>793</v>
      </c>
      <c r="B35" s="216" t="s">
        <v>781</v>
      </c>
      <c r="C35" s="221">
        <v>16</v>
      </c>
      <c r="D35" s="228">
        <v>0</v>
      </c>
      <c r="E35" s="221">
        <f>C35*D35</f>
        <v>0</v>
      </c>
      <c r="F35" s="228">
        <v>0</v>
      </c>
      <c r="G35" s="221">
        <f>C35*F35</f>
        <v>0</v>
      </c>
      <c r="H35" s="221">
        <f>D35+F35</f>
        <v>0</v>
      </c>
      <c r="I35" s="221">
        <f>E35+G35</f>
        <v>0</v>
      </c>
      <c r="J35" s="212"/>
      <c r="K35" s="212"/>
    </row>
    <row r="36" spans="1:11" x14ac:dyDescent="0.25">
      <c r="A36" s="226" t="s">
        <v>792</v>
      </c>
      <c r="B36" s="216" t="s">
        <v>781</v>
      </c>
      <c r="C36" s="221">
        <v>4</v>
      </c>
      <c r="D36" s="228">
        <v>0</v>
      </c>
      <c r="E36" s="221">
        <f>C36*D36</f>
        <v>0</v>
      </c>
      <c r="F36" s="228">
        <v>0</v>
      </c>
      <c r="G36" s="221">
        <f>C36*F36</f>
        <v>0</v>
      </c>
      <c r="H36" s="221">
        <f>D36+F36</f>
        <v>0</v>
      </c>
      <c r="I36" s="221">
        <f>E36+G36</f>
        <v>0</v>
      </c>
      <c r="J36" s="212"/>
      <c r="K36" s="212"/>
    </row>
    <row r="37" spans="1:11" x14ac:dyDescent="0.25">
      <c r="A37" s="226" t="s">
        <v>791</v>
      </c>
      <c r="B37" s="216" t="s">
        <v>781</v>
      </c>
      <c r="C37" s="221">
        <v>80</v>
      </c>
      <c r="D37" s="228">
        <v>0</v>
      </c>
      <c r="E37" s="221">
        <f>C37*D37</f>
        <v>0</v>
      </c>
      <c r="F37" s="228">
        <v>0</v>
      </c>
      <c r="G37" s="221">
        <f>C37*F37</f>
        <v>0</v>
      </c>
      <c r="H37" s="221">
        <f>D37+F37</f>
        <v>0</v>
      </c>
      <c r="I37" s="221">
        <f>E37+G37</f>
        <v>0</v>
      </c>
      <c r="J37" s="212"/>
      <c r="K37" s="212"/>
    </row>
    <row r="38" spans="1:11" x14ac:dyDescent="0.25">
      <c r="A38" s="226" t="s">
        <v>790</v>
      </c>
      <c r="B38" s="216" t="s">
        <v>781</v>
      </c>
      <c r="C38" s="221">
        <v>4</v>
      </c>
      <c r="D38" s="228">
        <v>0</v>
      </c>
      <c r="E38" s="221">
        <f>C38*D38</f>
        <v>0</v>
      </c>
      <c r="F38" s="228">
        <v>0</v>
      </c>
      <c r="G38" s="221">
        <f>C38*F38</f>
        <v>0</v>
      </c>
      <c r="H38" s="221">
        <f>D38+F38</f>
        <v>0</v>
      </c>
      <c r="I38" s="221">
        <f>E38+G38</f>
        <v>0</v>
      </c>
      <c r="J38" s="212"/>
      <c r="K38" s="212"/>
    </row>
    <row r="39" spans="1:11" ht="15.75" x14ac:dyDescent="0.25">
      <c r="A39" s="231" t="s">
        <v>789</v>
      </c>
      <c r="B39" s="230" t="s">
        <v>53</v>
      </c>
      <c r="C39" s="229"/>
      <c r="D39" s="229"/>
      <c r="E39" s="229"/>
      <c r="F39" s="229"/>
      <c r="G39" s="229"/>
      <c r="H39" s="229"/>
      <c r="I39" s="229"/>
      <c r="J39" s="212"/>
      <c r="K39" s="212"/>
    </row>
    <row r="40" spans="1:11" x14ac:dyDescent="0.25">
      <c r="A40" s="226" t="s">
        <v>788</v>
      </c>
      <c r="B40" s="216" t="s">
        <v>781</v>
      </c>
      <c r="C40" s="221">
        <v>12</v>
      </c>
      <c r="D40" s="228">
        <v>0</v>
      </c>
      <c r="E40" s="221">
        <f>C40*D40</f>
        <v>0</v>
      </c>
      <c r="F40" s="228">
        <v>0</v>
      </c>
      <c r="G40" s="221">
        <f>C40*F40</f>
        <v>0</v>
      </c>
      <c r="H40" s="221">
        <f>D40+F40</f>
        <v>0</v>
      </c>
      <c r="I40" s="221">
        <f>E40+G40</f>
        <v>0</v>
      </c>
      <c r="J40" s="212"/>
      <c r="K40" s="212"/>
    </row>
    <row r="41" spans="1:11" x14ac:dyDescent="0.25">
      <c r="A41" s="226" t="s">
        <v>787</v>
      </c>
      <c r="B41" s="216" t="s">
        <v>781</v>
      </c>
      <c r="C41" s="221">
        <v>15</v>
      </c>
      <c r="D41" s="232">
        <v>0</v>
      </c>
      <c r="E41" s="221">
        <f>C41*D41</f>
        <v>0</v>
      </c>
      <c r="F41" s="228">
        <v>0</v>
      </c>
      <c r="G41" s="221">
        <f>C41*F41</f>
        <v>0</v>
      </c>
      <c r="H41" s="221">
        <f>D41+F41</f>
        <v>0</v>
      </c>
      <c r="I41" s="221">
        <f>E41+G41</f>
        <v>0</v>
      </c>
      <c r="J41" s="212"/>
      <c r="K41" s="212"/>
    </row>
    <row r="42" spans="1:11" x14ac:dyDescent="0.25">
      <c r="A42" s="226" t="s">
        <v>786</v>
      </c>
      <c r="B42" s="216" t="s">
        <v>785</v>
      </c>
      <c r="C42" s="221">
        <v>1</v>
      </c>
      <c r="D42" s="228">
        <v>0</v>
      </c>
      <c r="E42" s="221">
        <f>C42*D42</f>
        <v>0</v>
      </c>
      <c r="F42" s="228">
        <v>0</v>
      </c>
      <c r="G42" s="221">
        <f>C42*F42</f>
        <v>0</v>
      </c>
      <c r="H42" s="221">
        <f>D42+F42</f>
        <v>0</v>
      </c>
      <c r="I42" s="221">
        <f>E42+G42</f>
        <v>0</v>
      </c>
      <c r="J42" s="212"/>
      <c r="K42" s="212"/>
    </row>
    <row r="43" spans="1:11" ht="15.75" x14ac:dyDescent="0.25">
      <c r="A43" s="231" t="s">
        <v>784</v>
      </c>
      <c r="B43" s="230" t="s">
        <v>53</v>
      </c>
      <c r="C43" s="229"/>
      <c r="D43" s="229"/>
      <c r="E43" s="229"/>
      <c r="F43" s="229"/>
      <c r="G43" s="229"/>
      <c r="H43" s="229"/>
      <c r="I43" s="229"/>
      <c r="J43" s="212"/>
      <c r="K43" s="212"/>
    </row>
    <row r="44" spans="1:11" x14ac:dyDescent="0.25">
      <c r="A44" s="226" t="s">
        <v>782</v>
      </c>
      <c r="B44" s="216" t="s">
        <v>781</v>
      </c>
      <c r="C44" s="221">
        <v>20</v>
      </c>
      <c r="D44" s="221">
        <v>0</v>
      </c>
      <c r="E44" s="221">
        <f>C44*D44</f>
        <v>0</v>
      </c>
      <c r="F44" s="228">
        <v>0</v>
      </c>
      <c r="G44" s="221">
        <f>C44*F44</f>
        <v>0</v>
      </c>
      <c r="H44" s="221">
        <f>D44+F44</f>
        <v>0</v>
      </c>
      <c r="I44" s="221">
        <f>E44+G44</f>
        <v>0</v>
      </c>
      <c r="J44" s="212"/>
      <c r="K44" s="212"/>
    </row>
    <row r="45" spans="1:11" ht="15.75" x14ac:dyDescent="0.25">
      <c r="A45" s="231" t="s">
        <v>783</v>
      </c>
      <c r="B45" s="230" t="s">
        <v>53</v>
      </c>
      <c r="C45" s="229"/>
      <c r="D45" s="229"/>
      <c r="E45" s="229"/>
      <c r="F45" s="229"/>
      <c r="G45" s="229"/>
      <c r="H45" s="229"/>
      <c r="I45" s="229"/>
      <c r="J45" s="212"/>
      <c r="K45" s="212"/>
    </row>
    <row r="46" spans="1:11" x14ac:dyDescent="0.25">
      <c r="A46" s="226" t="s">
        <v>782</v>
      </c>
      <c r="B46" s="216" t="s">
        <v>781</v>
      </c>
      <c r="C46" s="221">
        <v>20</v>
      </c>
      <c r="D46" s="221">
        <v>0</v>
      </c>
      <c r="E46" s="221">
        <f>C46*D46</f>
        <v>0</v>
      </c>
      <c r="F46" s="228">
        <v>0</v>
      </c>
      <c r="G46" s="221">
        <f>C46*F46</f>
        <v>0</v>
      </c>
      <c r="H46" s="221">
        <f>D46+F46</f>
        <v>0</v>
      </c>
      <c r="I46" s="221">
        <f>E46+G46</f>
        <v>0</v>
      </c>
      <c r="J46" s="212"/>
      <c r="K46" s="212"/>
    </row>
    <row r="47" spans="1:11" ht="15.75" x14ac:dyDescent="0.25">
      <c r="A47" s="231" t="s">
        <v>780</v>
      </c>
      <c r="B47" s="230" t="s">
        <v>53</v>
      </c>
      <c r="C47" s="229"/>
      <c r="D47" s="229"/>
      <c r="E47" s="229"/>
      <c r="F47" s="229"/>
      <c r="G47" s="229"/>
      <c r="H47" s="229"/>
      <c r="I47" s="229"/>
      <c r="J47" s="212"/>
      <c r="K47" s="212"/>
    </row>
    <row r="48" spans="1:11" x14ac:dyDescent="0.25">
      <c r="A48" s="226" t="s">
        <v>779</v>
      </c>
      <c r="B48" s="216" t="s">
        <v>773</v>
      </c>
      <c r="C48" s="221">
        <v>2</v>
      </c>
      <c r="D48" s="221">
        <v>0</v>
      </c>
      <c r="E48" s="221">
        <f>C48*D48</f>
        <v>0</v>
      </c>
      <c r="F48" s="228">
        <v>0</v>
      </c>
      <c r="G48" s="221">
        <f>C48*F48</f>
        <v>0</v>
      </c>
      <c r="H48" s="221">
        <f>D48+F48</f>
        <v>0</v>
      </c>
      <c r="I48" s="221">
        <f>E48+G48</f>
        <v>0</v>
      </c>
      <c r="J48" s="212"/>
      <c r="K48" s="212"/>
    </row>
    <row r="49" spans="1:11" ht="15.75" x14ac:dyDescent="0.25">
      <c r="A49" s="231" t="s">
        <v>778</v>
      </c>
      <c r="B49" s="230" t="s">
        <v>53</v>
      </c>
      <c r="C49" s="229"/>
      <c r="D49" s="229"/>
      <c r="E49" s="229"/>
      <c r="F49" s="229"/>
      <c r="G49" s="229"/>
      <c r="H49" s="229"/>
      <c r="I49" s="229"/>
      <c r="J49" s="212"/>
      <c r="K49" s="212"/>
    </row>
    <row r="50" spans="1:11" x14ac:dyDescent="0.25">
      <c r="A50" s="226" t="s">
        <v>777</v>
      </c>
      <c r="B50" s="216" t="s">
        <v>773</v>
      </c>
      <c r="C50" s="221">
        <v>4</v>
      </c>
      <c r="D50" s="221">
        <v>0</v>
      </c>
      <c r="E50" s="221">
        <f>C50*D50</f>
        <v>0</v>
      </c>
      <c r="F50" s="228">
        <v>0</v>
      </c>
      <c r="G50" s="221">
        <f>C50*F50</f>
        <v>0</v>
      </c>
      <c r="H50" s="221">
        <f>D50+F50</f>
        <v>0</v>
      </c>
      <c r="I50" s="221">
        <f>E50+G50</f>
        <v>0</v>
      </c>
      <c r="J50" s="212"/>
      <c r="K50" s="212"/>
    </row>
    <row r="51" spans="1:11" ht="15.75" x14ac:dyDescent="0.25">
      <c r="A51" s="231" t="s">
        <v>776</v>
      </c>
      <c r="B51" s="230" t="s">
        <v>53</v>
      </c>
      <c r="C51" s="229"/>
      <c r="D51" s="229"/>
      <c r="E51" s="229"/>
      <c r="F51" s="229"/>
      <c r="G51" s="229"/>
      <c r="H51" s="229"/>
      <c r="I51" s="229"/>
      <c r="J51" s="212"/>
      <c r="K51" s="212"/>
    </row>
    <row r="52" spans="1:11" ht="15.75" x14ac:dyDescent="0.25">
      <c r="A52" s="231" t="s">
        <v>775</v>
      </c>
      <c r="B52" s="230" t="s">
        <v>53</v>
      </c>
      <c r="C52" s="229"/>
      <c r="D52" s="229"/>
      <c r="E52" s="229"/>
      <c r="F52" s="229"/>
      <c r="G52" s="229"/>
      <c r="H52" s="229"/>
      <c r="I52" s="229"/>
      <c r="J52" s="212"/>
      <c r="K52" s="212"/>
    </row>
    <row r="53" spans="1:11" x14ac:dyDescent="0.25">
      <c r="A53" s="226" t="s">
        <v>774</v>
      </c>
      <c r="B53" s="216" t="s">
        <v>773</v>
      </c>
      <c r="C53" s="221">
        <v>10</v>
      </c>
      <c r="D53" s="221">
        <v>0</v>
      </c>
      <c r="E53" s="221">
        <f>C53*D53</f>
        <v>0</v>
      </c>
      <c r="F53" s="228">
        <v>0</v>
      </c>
      <c r="G53" s="221">
        <f>C53*F53</f>
        <v>0</v>
      </c>
      <c r="H53" s="221">
        <f>D53+F53</f>
        <v>0</v>
      </c>
      <c r="I53" s="221">
        <f>E53+G53</f>
        <v>0</v>
      </c>
      <c r="J53" s="212"/>
      <c r="K53" s="212"/>
    </row>
    <row r="54" spans="1:11" x14ac:dyDescent="0.25">
      <c r="A54" s="226" t="s">
        <v>772</v>
      </c>
      <c r="B54" s="216" t="s">
        <v>53</v>
      </c>
      <c r="C54" s="221"/>
      <c r="D54" s="221"/>
      <c r="E54" s="221">
        <f>L1+'Parametry D125'!B33/100*E38+'Parametry D125'!B33/100*E40+'Parametry D125'!B33/100*E41+'Parametry D125'!B33/100*E42+'Parametry D125'!B33/100*E44+'Parametry D125'!B33/100*E46+'Parametry D125'!B33/100*E48+'Parametry D125'!B33/100*E50+'Parametry D125'!B33/100*E53</f>
        <v>0</v>
      </c>
      <c r="F54" s="221"/>
      <c r="G54" s="221"/>
      <c r="H54" s="221">
        <f>D54+F54</f>
        <v>0</v>
      </c>
      <c r="I54" s="221">
        <f>E54+G54</f>
        <v>0</v>
      </c>
      <c r="J54" s="212"/>
      <c r="K54" s="212"/>
    </row>
    <row r="55" spans="1:11" ht="18" x14ac:dyDescent="0.25">
      <c r="A55" s="227" t="s">
        <v>771</v>
      </c>
      <c r="B55" s="218" t="s">
        <v>53</v>
      </c>
      <c r="C55" s="220"/>
      <c r="D55" s="220"/>
      <c r="E55" s="220">
        <f>SUM(E3:E54)</f>
        <v>0</v>
      </c>
      <c r="F55" s="220"/>
      <c r="G55" s="220">
        <f>SUM(G3:G54)</f>
        <v>0</v>
      </c>
      <c r="H55" s="220"/>
      <c r="I55" s="220">
        <f>SUM(I3:I54)</f>
        <v>0</v>
      </c>
      <c r="J55" s="212"/>
      <c r="K55" s="212"/>
    </row>
    <row r="56" spans="1:11" x14ac:dyDescent="0.25">
      <c r="A56" s="226" t="s">
        <v>53</v>
      </c>
      <c r="B56" s="216" t="s">
        <v>53</v>
      </c>
      <c r="C56" s="221"/>
      <c r="D56" s="221"/>
      <c r="E56" s="221"/>
      <c r="F56" s="221"/>
      <c r="G56" s="221"/>
      <c r="H56" s="221"/>
      <c r="I56" s="221"/>
      <c r="J56" s="212"/>
      <c r="K56" s="212"/>
    </row>
    <row r="57" spans="1:11" ht="18" x14ac:dyDescent="0.25">
      <c r="A57" s="227" t="s">
        <v>756</v>
      </c>
      <c r="B57" s="218" t="s">
        <v>53</v>
      </c>
      <c r="C57" s="220"/>
      <c r="D57" s="220"/>
      <c r="E57" s="220"/>
      <c r="F57" s="220"/>
      <c r="G57" s="220"/>
      <c r="H57" s="220"/>
      <c r="I57" s="220"/>
      <c r="J57" s="212"/>
      <c r="K57" s="212"/>
    </row>
    <row r="58" spans="1:11" ht="15.75" x14ac:dyDescent="0.25">
      <c r="A58" s="231" t="s">
        <v>770</v>
      </c>
      <c r="B58" s="230" t="s">
        <v>53</v>
      </c>
      <c r="C58" s="229"/>
      <c r="D58" s="229"/>
      <c r="E58" s="229"/>
      <c r="F58" s="229"/>
      <c r="G58" s="229"/>
      <c r="H58" s="229"/>
      <c r="I58" s="229"/>
      <c r="J58" s="212"/>
      <c r="K58" s="212"/>
    </row>
    <row r="59" spans="1:11" x14ac:dyDescent="0.25">
      <c r="A59" s="226" t="s">
        <v>768</v>
      </c>
      <c r="B59" s="216" t="s">
        <v>217</v>
      </c>
      <c r="C59" s="221">
        <v>60</v>
      </c>
      <c r="D59" s="221">
        <v>0</v>
      </c>
      <c r="E59" s="221">
        <f>C59*D59</f>
        <v>0</v>
      </c>
      <c r="F59" s="228">
        <v>0</v>
      </c>
      <c r="G59" s="221">
        <f>C59*F59</f>
        <v>0</v>
      </c>
      <c r="H59" s="221">
        <f>D59+F59</f>
        <v>0</v>
      </c>
      <c r="I59" s="221">
        <f>E59+G59</f>
        <v>0</v>
      </c>
      <c r="J59" s="212"/>
      <c r="K59" s="212"/>
    </row>
    <row r="60" spans="1:11" ht="15.75" x14ac:dyDescent="0.25">
      <c r="A60" s="231" t="s">
        <v>769</v>
      </c>
      <c r="B60" s="230" t="s">
        <v>53</v>
      </c>
      <c r="C60" s="229"/>
      <c r="D60" s="229"/>
      <c r="E60" s="229"/>
      <c r="F60" s="229"/>
      <c r="G60" s="229"/>
      <c r="H60" s="229"/>
      <c r="I60" s="229"/>
      <c r="J60" s="212"/>
      <c r="K60" s="212"/>
    </row>
    <row r="61" spans="1:11" x14ac:dyDescent="0.25">
      <c r="A61" s="226" t="s">
        <v>768</v>
      </c>
      <c r="B61" s="216" t="s">
        <v>217</v>
      </c>
      <c r="C61" s="221">
        <v>60</v>
      </c>
      <c r="D61" s="221">
        <v>0</v>
      </c>
      <c r="E61" s="221">
        <f>C61*D61</f>
        <v>0</v>
      </c>
      <c r="F61" s="228">
        <v>0</v>
      </c>
      <c r="G61" s="221">
        <f>C61*F61</f>
        <v>0</v>
      </c>
      <c r="H61" s="221">
        <f>D61+F61</f>
        <v>0</v>
      </c>
      <c r="I61" s="221">
        <f>E61+G61</f>
        <v>0</v>
      </c>
      <c r="J61" s="212"/>
      <c r="K61" s="212"/>
    </row>
    <row r="62" spans="1:11" ht="15.75" x14ac:dyDescent="0.25">
      <c r="A62" s="231" t="s">
        <v>767</v>
      </c>
      <c r="B62" s="230" t="s">
        <v>53</v>
      </c>
      <c r="C62" s="229"/>
      <c r="D62" s="229"/>
      <c r="E62" s="229"/>
      <c r="F62" s="229"/>
      <c r="G62" s="229"/>
      <c r="H62" s="229"/>
      <c r="I62" s="229"/>
      <c r="J62" s="212"/>
      <c r="K62" s="212"/>
    </row>
    <row r="63" spans="1:11" x14ac:dyDescent="0.25">
      <c r="A63" s="226" t="s">
        <v>766</v>
      </c>
      <c r="B63" s="216" t="s">
        <v>217</v>
      </c>
      <c r="C63" s="221">
        <v>45</v>
      </c>
      <c r="D63" s="228">
        <v>0</v>
      </c>
      <c r="E63" s="221">
        <f>C63*D63</f>
        <v>0</v>
      </c>
      <c r="F63" s="228">
        <v>0</v>
      </c>
      <c r="G63" s="221">
        <f>C63*F63</f>
        <v>0</v>
      </c>
      <c r="H63" s="221">
        <f>D63+F63</f>
        <v>0</v>
      </c>
      <c r="I63" s="221">
        <f>E63+G63</f>
        <v>0</v>
      </c>
      <c r="J63" s="212"/>
      <c r="K63" s="212"/>
    </row>
    <row r="64" spans="1:11" ht="18" x14ac:dyDescent="0.25">
      <c r="A64" s="227" t="s">
        <v>765</v>
      </c>
      <c r="B64" s="218" t="s">
        <v>53</v>
      </c>
      <c r="C64" s="220"/>
      <c r="D64" s="220"/>
      <c r="E64" s="220">
        <f>SUM(E58:E63)</f>
        <v>0</v>
      </c>
      <c r="F64" s="220"/>
      <c r="G64" s="220">
        <f>SUM(G58:G63)</f>
        <v>0</v>
      </c>
      <c r="H64" s="220"/>
      <c r="I64" s="220">
        <f>SUM(I58:I63)</f>
        <v>0</v>
      </c>
      <c r="J64" s="212"/>
      <c r="K64" s="212"/>
    </row>
    <row r="65" spans="1:11" x14ac:dyDescent="0.25">
      <c r="A65" s="226" t="s">
        <v>53</v>
      </c>
      <c r="B65" s="216" t="s">
        <v>53</v>
      </c>
      <c r="C65" s="221"/>
      <c r="D65" s="221"/>
      <c r="E65" s="221"/>
      <c r="F65" s="221"/>
      <c r="G65" s="221"/>
      <c r="H65" s="221"/>
      <c r="I65" s="221"/>
      <c r="J65" s="212"/>
      <c r="K65" s="212"/>
    </row>
  </sheetData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21</vt:i4>
      </vt:variant>
    </vt:vector>
  </HeadingPairs>
  <TitlesOfParts>
    <vt:vector size="27" baseType="lpstr">
      <vt:lpstr>Rekapitulace</vt:lpstr>
      <vt:lpstr>Kryci list D11</vt:lpstr>
      <vt:lpstr>Polozky D11</vt:lpstr>
      <vt:lpstr>Parametry D125</vt:lpstr>
      <vt:lpstr>Rekapitulace D125</vt:lpstr>
      <vt:lpstr>Polozky D125</vt:lpstr>
      <vt:lpstr>Rekapitulace!CelkemObjekty</vt:lpstr>
      <vt:lpstr>Rekapitulace!CisloStavby</vt:lpstr>
      <vt:lpstr>Rekapitulace!dmisto</vt:lpstr>
      <vt:lpstr>Rekapitulace!dpsc</vt:lpstr>
      <vt:lpstr>Rekapitulace!IČO</vt:lpstr>
      <vt:lpstr>Rekapitulace!NazevObjektu</vt:lpstr>
      <vt:lpstr>Rekapitulace!NazevStavby</vt:lpstr>
      <vt:lpstr>Rekapitulace!Objednatel</vt:lpstr>
      <vt:lpstr>Rekapitulace!Objekt</vt:lpstr>
      <vt:lpstr>'Parametry D125'!Oblast_tisku</vt:lpstr>
      <vt:lpstr>'Polozky D125'!Oblast_tisku</vt:lpstr>
      <vt:lpstr>Rekapitulace!Oblast_tisku</vt:lpstr>
      <vt:lpstr>'Rekapitulace D125'!Oblast_tisku</vt:lpstr>
      <vt:lpstr>Rekapitulace!odic</vt:lpstr>
      <vt:lpstr>Rekapitulace!oico</vt:lpstr>
      <vt:lpstr>Rekapitulace!onazev</vt:lpstr>
      <vt:lpstr>Rekapitulace!opsc</vt:lpstr>
      <vt:lpstr>Rekapitulace!SazbaDPH1</vt:lpstr>
      <vt:lpstr>Rekapitulace!SazbaDPH2</vt:lpstr>
      <vt:lpstr>Rekapitulace!StavbaCelkem</vt:lpstr>
      <vt:lpstr>Rekapitulace!Zhotovitel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Tomáš Sýkora</cp:lastModifiedBy>
  <cp:lastPrinted>2025-07-14T11:27:54Z</cp:lastPrinted>
  <dcterms:created xsi:type="dcterms:W3CDTF">2011-02-11T14:26:06Z</dcterms:created>
  <dcterms:modified xsi:type="dcterms:W3CDTF">2026-02-26T13:54:28Z</dcterms:modified>
</cp:coreProperties>
</file>